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<sst xmlns="http://schemas.openxmlformats.org/spreadsheetml/2006/main" count="171" uniqueCount="123">
  <si>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</si>
  <si>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</si>
  <si>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</si>
  <si>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</si>
  <si>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</si>
  <si>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</si>
  <si>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</si>
  <si>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</si>
  <si>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</si>
  <si>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</si>
  <si>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</si>
  <si>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</si>
  <si>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</si>
  <si>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</si>
  <si>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</si>
  <si>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</si>
  <si>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</si>
  <si>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</si>
  <si>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</si>
  <si>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</si>
  <si>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</si>
  <si>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</si>
  <si>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</si>
  <si>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</si>
  <si>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</si>
  <si>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</si>
  <si>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</si>
  <si>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</si>
  <si>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</si>
  <si>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</si>
  <si>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</si>
  <si>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</si>
  <si>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</si>
  <si>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</si>
  <si>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</si>
  <si>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</si>
  <si>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</si>
  <si>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</si>
  <si>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</si>
  <si>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</si>
  <si>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</si>
  <si>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</si>
  <si>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</si>
  <si>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</si>
  <si>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</si>
  <si>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</si>
  <si>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</si>
  <si>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</si>
  <si>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</si>
  <si>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</si>
  <si>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</si>
  <si>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</si>
  <si>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</si>
  <si>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</si>
  <si>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</si>
  <si>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</si>
  <si>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</si>
  <si>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</si>
  <si>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</si>
  <si>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</si>
  <si>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</si>
  <si>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</si>
  <si>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</si>
  <si>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</si>
  <si>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</si>
  <si>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</si>
  <si>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</si>
  <si>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</si>
  <si>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</si>
  <si>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</si>
  <si>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</si>
  <si>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</si>
  <si>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</si>
  <si>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</si>
  <si>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</si>
  <si>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</si>
  <si>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</si>
  <si>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</si>
  <si>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</si>
  <si>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</si>
  <si>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</si>
  <si>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</si>
  <si>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</si>
  <si>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</si>
  <si>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</si>
  <si>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</si>
  <si>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</si>
  <si>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</si>
  <si>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</si>
  <si>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</si>
  <si>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</si>
  <si>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</si>
  <si>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</si>
  <si>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</si>
  <si>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</si>
  <si>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</si>
  <si>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</si>
  <si>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</si>
  <si>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</si>
  <si>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</si>
  <si>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</si>
  <si>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</si>
  <si>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</si>
  <si>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</si>
  <si>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</si>
  <si>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</si>
  <si>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</si>
  <si>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</si>
  <si>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</si>
  <si>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</si>
  <si>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</si>
  <si>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</si>
  <si>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</si>
  <si>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</si>
  <si>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</si>
  <si>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</si>
  <si>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</si>
  <si>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</si>
  <si>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</si>
  <si>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</si>
  <si>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</si>
  <si>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</si>
  <si>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міського бюджету за 2016 рік станом на 04.04.2016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</si>
</sst>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56062.5</c:v>
                </c:pt>
                <c:pt idx="1">
                  <c:v>47610.9</c:v>
                </c:pt>
                <c:pt idx="2">
                  <c:v>2476</c:v>
                </c:pt>
                <c:pt idx="3">
                  <c:v>5975.5999999999985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13452.6</c:v>
                </c:pt>
                <c:pt idx="1">
                  <c:v>12168.8</c:v>
                </c:pt>
                <c:pt idx="2">
                  <c:v>471.59999999999997</c:v>
                </c:pt>
                <c:pt idx="3">
                  <c:v>812.2000000000012</c:v>
                </c:pt>
              </c:numCache>
            </c:numRef>
          </c:val>
          <c:shape val="box"/>
        </c:ser>
        <c:shape val="box"/>
        <c:axId val="27861873"/>
        <c:axId val="49430266"/>
      </c:bar3DChart>
      <c:catAx>
        <c:axId val="27861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430266"/>
        <c:crosses val="autoZero"/>
        <c:auto val="1"/>
        <c:lblOffset val="100"/>
        <c:tickLblSkip val="1"/>
        <c:noMultiLvlLbl val="0"/>
      </c:catAx>
      <c:valAx>
        <c:axId val="49430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618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426986.5</c:v>
                </c:pt>
                <c:pt idx="1">
                  <c:v>185717.4</c:v>
                </c:pt>
                <c:pt idx="2">
                  <c:v>298081.6</c:v>
                </c:pt>
                <c:pt idx="3">
                  <c:v>85.7</c:v>
                </c:pt>
                <c:pt idx="4">
                  <c:v>28052.9</c:v>
                </c:pt>
                <c:pt idx="5">
                  <c:v>71654.8</c:v>
                </c:pt>
                <c:pt idx="6">
                  <c:v>14712</c:v>
                </c:pt>
                <c:pt idx="7">
                  <c:v>14399.500000000015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101009.00000000003</c:v>
                </c:pt>
                <c:pt idx="1">
                  <c:v>39706.9</c:v>
                </c:pt>
                <c:pt idx="2">
                  <c:v>69098.7</c:v>
                </c:pt>
                <c:pt idx="3">
                  <c:v>11.4</c:v>
                </c:pt>
                <c:pt idx="4">
                  <c:v>6595.200000000001</c:v>
                </c:pt>
                <c:pt idx="5">
                  <c:v>20247.600000000002</c:v>
                </c:pt>
                <c:pt idx="6">
                  <c:v>3430.600000000001</c:v>
                </c:pt>
                <c:pt idx="7">
                  <c:v>1625.5000000000268</c:v>
                </c:pt>
              </c:numCache>
            </c:numRef>
          </c:val>
          <c:shape val="box"/>
        </c:ser>
        <c:shape val="box"/>
        <c:axId val="42219211"/>
        <c:axId val="44428580"/>
      </c:bar3DChart>
      <c:catAx>
        <c:axId val="4221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28580"/>
        <c:crosses val="autoZero"/>
        <c:auto val="1"/>
        <c:lblOffset val="100"/>
        <c:tickLblSkip val="1"/>
        <c:noMultiLvlLbl val="0"/>
      </c:catAx>
      <c:valAx>
        <c:axId val="444285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192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253991.4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13082.100000000004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56809.3</c:v>
                </c:pt>
                <c:pt idx="1">
                  <c:v>42183.19999999999</c:v>
                </c:pt>
                <c:pt idx="2">
                  <c:v>43402.899999999994</c:v>
                </c:pt>
                <c:pt idx="3">
                  <c:v>4137.799999999999</c:v>
                </c:pt>
                <c:pt idx="4">
                  <c:v>949.5999999999999</c:v>
                </c:pt>
                <c:pt idx="5">
                  <c:v>7091.499999999999</c:v>
                </c:pt>
                <c:pt idx="6">
                  <c:v>378.4</c:v>
                </c:pt>
                <c:pt idx="7">
                  <c:v>849.10000000001</c:v>
                </c:pt>
              </c:numCache>
            </c:numRef>
          </c:val>
          <c:shape val="box"/>
        </c:ser>
        <c:shape val="box"/>
        <c:axId val="64312901"/>
        <c:axId val="41945198"/>
      </c:bar3DChart>
      <c:catAx>
        <c:axId val="64312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945198"/>
        <c:crosses val="autoZero"/>
        <c:auto val="1"/>
        <c:lblOffset val="100"/>
        <c:tickLblSkip val="1"/>
        <c:noMultiLvlLbl val="0"/>
      </c:catAx>
      <c:valAx>
        <c:axId val="41945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129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11203.999999999998</c:v>
                </c:pt>
                <c:pt idx="1">
                  <c:v>7978.9</c:v>
                </c:pt>
                <c:pt idx="2">
                  <c:v>598.8000000000001</c:v>
                </c:pt>
                <c:pt idx="3">
                  <c:v>78.5</c:v>
                </c:pt>
                <c:pt idx="4">
                  <c:v>15.299999999999999</c:v>
                </c:pt>
                <c:pt idx="5">
                  <c:v>2532.499999999998</c:v>
                </c:pt>
              </c:numCache>
            </c:numRef>
          </c:val>
          <c:shape val="box"/>
        </c:ser>
        <c:shape val="box"/>
        <c:axId val="41962463"/>
        <c:axId val="42117848"/>
      </c:bar3DChart>
      <c:catAx>
        <c:axId val="4196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17848"/>
        <c:crosses val="autoZero"/>
        <c:auto val="1"/>
        <c:lblOffset val="100"/>
        <c:tickLblSkip val="1"/>
        <c:noMultiLvlLbl val="0"/>
      </c:catAx>
      <c:valAx>
        <c:axId val="42117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624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16112.5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4551.699999999999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3182.5</c:v>
                </c:pt>
                <c:pt idx="1">
                  <c:v>2211.8999999999996</c:v>
                </c:pt>
                <c:pt idx="3">
                  <c:v>28.2</c:v>
                </c:pt>
                <c:pt idx="4">
                  <c:v>243.99999999999997</c:v>
                </c:pt>
                <c:pt idx="5">
                  <c:v>698.4000000000003</c:v>
                </c:pt>
              </c:numCache>
            </c:numRef>
          </c:val>
          <c:shape val="box"/>
        </c:ser>
        <c:shape val="box"/>
        <c:axId val="43516313"/>
        <c:axId val="56102498"/>
      </c:bar3DChart>
      <c:catAx>
        <c:axId val="4351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102498"/>
        <c:crosses val="autoZero"/>
        <c:auto val="1"/>
        <c:lblOffset val="100"/>
        <c:tickLblSkip val="2"/>
        <c:noMultiLvlLbl val="0"/>
      </c:catAx>
      <c:valAx>
        <c:axId val="56102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163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5881.8</c:v>
                </c:pt>
                <c:pt idx="1">
                  <c:v>1508.2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198.10000000000053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478.5</c:v>
                </c:pt>
                <c:pt idx="1">
                  <c:v>348.2</c:v>
                </c:pt>
                <c:pt idx="3">
                  <c:v>119.9</c:v>
                </c:pt>
                <c:pt idx="5">
                  <c:v>10.400000000000006</c:v>
                </c:pt>
              </c:numCache>
            </c:numRef>
          </c:val>
          <c:shape val="box"/>
        </c:ser>
        <c:shape val="box"/>
        <c:axId val="35160435"/>
        <c:axId val="48008460"/>
      </c:bar3DChart>
      <c:catAx>
        <c:axId val="35160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08460"/>
        <c:crosses val="autoZero"/>
        <c:auto val="1"/>
        <c:lblOffset val="100"/>
        <c:tickLblSkip val="1"/>
        <c:noMultiLvlLbl val="0"/>
      </c:catAx>
      <c:valAx>
        <c:axId val="48008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604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24978.6</c:v>
                </c:pt>
              </c:numCache>
            </c:numRef>
          </c:val>
          <c:shape val="box"/>
        </c:ser>
        <c:shape val="box"/>
        <c:axId val="29422957"/>
        <c:axId val="63480022"/>
      </c:bar3DChart>
      <c:catAx>
        <c:axId val="2942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480022"/>
        <c:crosses val="autoZero"/>
        <c:auto val="1"/>
        <c:lblOffset val="100"/>
        <c:tickLblSkip val="1"/>
        <c:noMultiLvlLbl val="0"/>
      </c:catAx>
      <c:valAx>
        <c:axId val="63480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229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426986.5</c:v>
                </c:pt>
                <c:pt idx="1">
                  <c:v>253991.4</c:v>
                </c:pt>
                <c:pt idx="2">
                  <c:v>50285.299999999996</c:v>
                </c:pt>
                <c:pt idx="3">
                  <c:v>16112.5</c:v>
                </c:pt>
                <c:pt idx="4">
                  <c:v>5881.8</c:v>
                </c:pt>
                <c:pt idx="5">
                  <c:v>56062.5</c:v>
                </c:pt>
                <c:pt idx="6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101009.00000000003</c:v>
                </c:pt>
                <c:pt idx="1">
                  <c:v>56809.3</c:v>
                </c:pt>
                <c:pt idx="2">
                  <c:v>11203.999999999998</c:v>
                </c:pt>
                <c:pt idx="3">
                  <c:v>3182.5</c:v>
                </c:pt>
                <c:pt idx="4">
                  <c:v>478.5</c:v>
                </c:pt>
                <c:pt idx="5">
                  <c:v>13452.6</c:v>
                </c:pt>
                <c:pt idx="6">
                  <c:v>24978.6</c:v>
                </c:pt>
              </c:numCache>
            </c:numRef>
          </c:val>
          <c:shape val="box"/>
        </c:ser>
        <c:shape val="box"/>
        <c:axId val="34449287"/>
        <c:axId val="41608128"/>
      </c:bar3DChart>
      <c:catAx>
        <c:axId val="34449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608128"/>
        <c:crosses val="autoZero"/>
        <c:auto val="1"/>
        <c:lblOffset val="100"/>
        <c:tickLblSkip val="1"/>
        <c:noMultiLvlLbl val="0"/>
      </c:catAx>
      <c:valAx>
        <c:axId val="41608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492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587184.8999999998</c:v>
                </c:pt>
                <c:pt idx="1">
                  <c:v>114263.80000000002</c:v>
                </c:pt>
                <c:pt idx="2">
                  <c:v>32660.300000000003</c:v>
                </c:pt>
                <c:pt idx="3">
                  <c:v>29295.7</c:v>
                </c:pt>
                <c:pt idx="4">
                  <c:v>21053.1</c:v>
                </c:pt>
                <c:pt idx="5">
                  <c:v>600482.5000000005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137047.59999999995</c:v>
                </c:pt>
                <c:pt idx="1">
                  <c:v>30416.899999999998</c:v>
                </c:pt>
                <c:pt idx="2">
                  <c:v>7581.900000000001</c:v>
                </c:pt>
                <c:pt idx="3">
                  <c:v>5634.200000000001</c:v>
                </c:pt>
                <c:pt idx="4">
                  <c:v>4149.999999999999</c:v>
                </c:pt>
                <c:pt idx="5">
                  <c:v>80980.90000000013</c:v>
                </c:pt>
              </c:numCache>
            </c:numRef>
          </c:val>
          <c:shape val="box"/>
        </c:ser>
        <c:shape val="box"/>
        <c:axId val="38928833"/>
        <c:axId val="14815178"/>
      </c:bar3DChart>
      <c:catAx>
        <c:axId val="38928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15178"/>
        <c:crosses val="autoZero"/>
        <c:auto val="1"/>
        <c:lblOffset val="100"/>
        <c:tickLblSkip val="1"/>
        <c:noMultiLvlLbl val="0"/>
      </c:catAx>
      <c:valAx>
        <c:axId val="148151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288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112</v>
      </c>
      <c r="D3" s="135" t="s">
        <v>28</v>
      </c>
      <c r="E3" s="135" t="s">
        <v>27</v>
      </c>
      <c r="F3" s="135" t="s">
        <v>120</v>
      </c>
      <c r="G3" s="135" t="s">
        <v>114</v>
      </c>
      <c r="H3" s="135" t="s">
        <v>121</v>
      </c>
      <c r="I3" s="135" t="s">
        <v>113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149054.8</v>
      </c>
      <c r="C6" s="50">
        <f>426773.1+25+188.4</f>
        <v>426986.5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</f>
        <v>101352.20000000003</v>
      </c>
      <c r="E6" s="3">
        <f>D6/D149*100</f>
        <v>37.06276214889875</v>
      </c>
      <c r="F6" s="3">
        <f>D6/B6*100</f>
        <v>67.99660259179848</v>
      </c>
      <c r="G6" s="3">
        <f aca="true" t="shared" si="0" ref="G6:G43">D6/C6*100</f>
        <v>23.736628675613872</v>
      </c>
      <c r="H6" s="51">
        <f>B6-D6</f>
        <v>47702.59999999996</v>
      </c>
      <c r="I6" s="51">
        <f aca="true" t="shared" si="1" ref="I6:I43">C6-D6</f>
        <v>325634.3</v>
      </c>
    </row>
    <row r="7" spans="1:9" s="41" customFormat="1" ht="18.75">
      <c r="A7" s="112" t="s">
        <v>98</v>
      </c>
      <c r="B7" s="105">
        <v>54431.8</v>
      </c>
      <c r="C7" s="102">
        <v>185717.4</v>
      </c>
      <c r="D7" s="113">
        <f>5419.3+86.3+97.4+56.7+6727.5+560.1+2.9+0.2+1.9+63.8+1046.3+6719.3+1648.4+0.1+3694.8+239.7+583.7+0.6+6625.2+702.1+382.8+87+367+343.9+3400.9+728.9+60.5+24.4+35.2</f>
        <v>39706.9</v>
      </c>
      <c r="E7" s="103">
        <f>D7/D6*100</f>
        <v>39.17714662335893</v>
      </c>
      <c r="F7" s="103">
        <f>D7/B7*100</f>
        <v>72.94798261310483</v>
      </c>
      <c r="G7" s="103">
        <f>D7/C7*100</f>
        <v>21.380279930690392</v>
      </c>
      <c r="H7" s="113">
        <f>B7-D7</f>
        <v>14724.900000000001</v>
      </c>
      <c r="I7" s="113">
        <f t="shared" si="1"/>
        <v>146010.5</v>
      </c>
    </row>
    <row r="8" spans="1:9" ht="18">
      <c r="A8" s="26" t="s">
        <v>3</v>
      </c>
      <c r="B8" s="46">
        <v>94028.7</v>
      </c>
      <c r="C8" s="47">
        <v>298081.6</v>
      </c>
      <c r="D8" s="48">
        <f>3665.2+5419.3+4645.9+6727.5+3.3+4022.1+5553.6+3348.6+2163.6+10156.4+7.2+0.6+10315.5+1+3228.6+8514.3+1326</f>
        <v>69098.7</v>
      </c>
      <c r="E8" s="1">
        <f>D8/D6*100</f>
        <v>68.17681313281801</v>
      </c>
      <c r="F8" s="1">
        <f>D8/B8*100</f>
        <v>73.4868183863012</v>
      </c>
      <c r="G8" s="1">
        <f t="shared" si="0"/>
        <v>23.181135635342805</v>
      </c>
      <c r="H8" s="48">
        <f>B8-D8</f>
        <v>24930</v>
      </c>
      <c r="I8" s="48">
        <f t="shared" si="1"/>
        <v>228982.89999999997</v>
      </c>
    </row>
    <row r="9" spans="1:9" ht="18">
      <c r="A9" s="26" t="s">
        <v>2</v>
      </c>
      <c r="B9" s="46">
        <v>32.9</v>
      </c>
      <c r="C9" s="47">
        <v>85.7</v>
      </c>
      <c r="D9" s="48">
        <f>4+2.9+1.6+0.5+0.5+1.9</f>
        <v>11.4</v>
      </c>
      <c r="E9" s="12">
        <f>D9/D6*100</f>
        <v>0.011247905817535287</v>
      </c>
      <c r="F9" s="128">
        <f>D9/B9*100</f>
        <v>34.650455927051674</v>
      </c>
      <c r="G9" s="1">
        <f t="shared" si="0"/>
        <v>13.302217036172696</v>
      </c>
      <c r="H9" s="48">
        <f aca="true" t="shared" si="2" ref="H9:H43">B9-D9</f>
        <v>21.5</v>
      </c>
      <c r="I9" s="48">
        <f t="shared" si="1"/>
        <v>74.3</v>
      </c>
    </row>
    <row r="10" spans="1:9" ht="18">
      <c r="A10" s="26" t="s">
        <v>1</v>
      </c>
      <c r="B10" s="46">
        <v>13203.9</v>
      </c>
      <c r="C10" s="47">
        <v>28052.9</v>
      </c>
      <c r="D10" s="52">
        <f>345.3+106.4+54.5+56.4+92.4+115.9+196.4+52.1+68.7+86.2+0.1+55.3+64.8+145.1+546+625.6+89.3+262.4+197+554.9+204.6+131+84.2+167.8+234+244.3+224.6+2.6+720.8+274.8+196.9+92.7+302.2-0.1+54+252.1</f>
        <v>6901.300000000001</v>
      </c>
      <c r="E10" s="1">
        <f>D10/D6*100</f>
        <v>6.80922565075055</v>
      </c>
      <c r="F10" s="1">
        <f aca="true" t="shared" si="3" ref="F10:F41">D10/B10*100</f>
        <v>52.26713319549528</v>
      </c>
      <c r="G10" s="1">
        <f t="shared" si="0"/>
        <v>24.60102164125634</v>
      </c>
      <c r="H10" s="48">
        <f t="shared" si="2"/>
        <v>6302.5999999999985</v>
      </c>
      <c r="I10" s="48">
        <f t="shared" si="1"/>
        <v>21151.6</v>
      </c>
    </row>
    <row r="11" spans="1:9" ht="18">
      <c r="A11" s="26" t="s">
        <v>0</v>
      </c>
      <c r="B11" s="46">
        <v>31944.4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</f>
        <v>20268.600000000002</v>
      </c>
      <c r="E11" s="1">
        <f>D11/D6*100</f>
        <v>19.998184548534713</v>
      </c>
      <c r="F11" s="1">
        <f t="shared" si="3"/>
        <v>63.449618712513</v>
      </c>
      <c r="G11" s="1">
        <f t="shared" si="0"/>
        <v>28.286451151911667</v>
      </c>
      <c r="H11" s="48">
        <f t="shared" si="2"/>
        <v>11675.8</v>
      </c>
      <c r="I11" s="48">
        <f t="shared" si="1"/>
        <v>51386.2</v>
      </c>
    </row>
    <row r="12" spans="1:9" ht="18">
      <c r="A12" s="26" t="s">
        <v>15</v>
      </c>
      <c r="B12" s="46">
        <v>4804.5</v>
      </c>
      <c r="C12" s="47">
        <v>14712</v>
      </c>
      <c r="D12" s="48">
        <f>5+12.7+3.8+1250.6+160.8+241+218.1+277.6+20.3+413.8+8.3+240.5+24.8+2.5+338+212.8</f>
        <v>3430.600000000001</v>
      </c>
      <c r="E12" s="1">
        <f>D12/D6*100</f>
        <v>3.3848303243540845</v>
      </c>
      <c r="F12" s="1">
        <f t="shared" si="3"/>
        <v>71.40389218441047</v>
      </c>
      <c r="G12" s="1">
        <f t="shared" si="0"/>
        <v>23.318379554105498</v>
      </c>
      <c r="H12" s="48">
        <f t="shared" si="2"/>
        <v>1373.8999999999992</v>
      </c>
      <c r="I12" s="48">
        <f t="shared" si="1"/>
        <v>11281.4</v>
      </c>
    </row>
    <row r="13" spans="1:9" ht="18.75" thickBot="1">
      <c r="A13" s="26" t="s">
        <v>34</v>
      </c>
      <c r="B13" s="47">
        <f>B6-B8-B9-B10-B11-B12</f>
        <v>5040.399999999987</v>
      </c>
      <c r="C13" s="47">
        <f>C6-C8-C9-C10-C11-C12</f>
        <v>14399.500000000015</v>
      </c>
      <c r="D13" s="47">
        <f>D6-D8-D9-D10-D11-D12</f>
        <v>1641.6000000000217</v>
      </c>
      <c r="E13" s="1">
        <f>D13/D6*100</f>
        <v>1.6196984377251022</v>
      </c>
      <c r="F13" s="1">
        <f t="shared" si="3"/>
        <v>32.56884374256063</v>
      </c>
      <c r="G13" s="1">
        <f t="shared" si="0"/>
        <v>11.400395847078162</v>
      </c>
      <c r="H13" s="48">
        <f t="shared" si="2"/>
        <v>3398.799999999965</v>
      </c>
      <c r="I13" s="48">
        <f t="shared" si="1"/>
        <v>12757.899999999992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83225.4</v>
      </c>
      <c r="C18" s="50">
        <f>250434.1+666.5+2890.8</f>
        <v>253991.4</v>
      </c>
      <c r="D18" s="51">
        <f>5722.2+538+9070.5+238.7+827+135.9+565.7+282.3+195.5+508.6+5725.7+2584.4+8528.6+385.3+454.2+396.4+0.1+214+265.2+269.5+0.5+8027.1+27.9+93.7+5939.2+5138.8+56+477.3+131.9+9+0.1</f>
        <v>56809.3</v>
      </c>
      <c r="E18" s="3">
        <f>D18/D149*100</f>
        <v>20.774187178427635</v>
      </c>
      <c r="F18" s="3">
        <f>D18/B18*100</f>
        <v>68.25956979479824</v>
      </c>
      <c r="G18" s="3">
        <f t="shared" si="0"/>
        <v>22.366623436856525</v>
      </c>
      <c r="H18" s="51">
        <f>B18-D18</f>
        <v>26416.09999999999</v>
      </c>
      <c r="I18" s="51">
        <f t="shared" si="1"/>
        <v>197182.09999999998</v>
      </c>
    </row>
    <row r="19" spans="1:9" s="41" customFormat="1" ht="18.75">
      <c r="A19" s="112" t="s">
        <v>99</v>
      </c>
      <c r="B19" s="105">
        <v>59701.3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</f>
        <v>42183.19999999999</v>
      </c>
      <c r="E19" s="103">
        <f>D19/D18*100</f>
        <v>74.25403939143764</v>
      </c>
      <c r="F19" s="103">
        <f t="shared" si="3"/>
        <v>70.65708786910835</v>
      </c>
      <c r="G19" s="103">
        <f t="shared" si="0"/>
        <v>22.092385042421697</v>
      </c>
      <c r="H19" s="113">
        <f t="shared" si="2"/>
        <v>17518.100000000013</v>
      </c>
      <c r="I19" s="113">
        <f t="shared" si="1"/>
        <v>148756.80000000002</v>
      </c>
    </row>
    <row r="20" spans="1:9" ht="18">
      <c r="A20" s="26" t="s">
        <v>5</v>
      </c>
      <c r="B20" s="46">
        <v>60012.7</v>
      </c>
      <c r="C20" s="47">
        <v>186641.3</v>
      </c>
      <c r="D20" s="48">
        <f>5722.2+1+8655.9+32.9+2.4+5725.7+8251+357.7+0.1+5829.5+27.9+3957+4812.9+26.7</f>
        <v>43402.899999999994</v>
      </c>
      <c r="E20" s="1">
        <f>D20/D18*100</f>
        <v>76.40104701166885</v>
      </c>
      <c r="F20" s="1">
        <f t="shared" si="3"/>
        <v>72.32285832832049</v>
      </c>
      <c r="G20" s="1">
        <f t="shared" si="0"/>
        <v>23.254713720918144</v>
      </c>
      <c r="H20" s="48">
        <f t="shared" si="2"/>
        <v>16609.800000000003</v>
      </c>
      <c r="I20" s="48">
        <f t="shared" si="1"/>
        <v>143238.4</v>
      </c>
    </row>
    <row r="21" spans="1:9" ht="18">
      <c r="A21" s="26" t="s">
        <v>2</v>
      </c>
      <c r="B21" s="46">
        <v>7784.7</v>
      </c>
      <c r="C21" s="47">
        <f>20454.1+500</f>
        <v>20954.1</v>
      </c>
      <c r="D21" s="48">
        <f>80.5+183.6+169.4+194.4+100+1.7+148.4+215.7+278.3+117.8+152.1+196.9+0.1+12.4+249.4+61.7+746.5+93.7+472.5+302.1+275.1+81.6+3.9</f>
        <v>4137.799999999999</v>
      </c>
      <c r="E21" s="1">
        <f>D21/D18*100</f>
        <v>7.2836665827602145</v>
      </c>
      <c r="F21" s="1">
        <f t="shared" si="3"/>
        <v>53.1529795624751</v>
      </c>
      <c r="G21" s="1">
        <f t="shared" si="0"/>
        <v>19.746970759899014</v>
      </c>
      <c r="H21" s="48">
        <f t="shared" si="2"/>
        <v>3646.9000000000005</v>
      </c>
      <c r="I21" s="48">
        <f t="shared" si="1"/>
        <v>16816.3</v>
      </c>
    </row>
    <row r="22" spans="1:9" ht="18">
      <c r="A22" s="26" t="s">
        <v>1</v>
      </c>
      <c r="B22" s="46">
        <v>1297</v>
      </c>
      <c r="C22" s="47">
        <v>3917.9</v>
      </c>
      <c r="D22" s="48">
        <f>127.7+23.6+33.5+86.7+19.5+2.9+68.3+78.1+10.6+165.4+2.5+15.8+6.5+60.2+104.3+141.7+2.3</f>
        <v>949.5999999999999</v>
      </c>
      <c r="E22" s="1">
        <f>D22/D18*100</f>
        <v>1.6715572978367974</v>
      </c>
      <c r="F22" s="1">
        <f t="shared" si="3"/>
        <v>73.21511179645334</v>
      </c>
      <c r="G22" s="1">
        <f t="shared" si="0"/>
        <v>24.23747415707394</v>
      </c>
      <c r="H22" s="48">
        <f t="shared" si="2"/>
        <v>347.4000000000001</v>
      </c>
      <c r="I22" s="48">
        <f t="shared" si="1"/>
        <v>2968.3</v>
      </c>
    </row>
    <row r="23" spans="1:9" ht="18">
      <c r="A23" s="26" t="s">
        <v>0</v>
      </c>
      <c r="B23" s="46">
        <v>11619.2</v>
      </c>
      <c r="C23" s="47">
        <v>27804.4</v>
      </c>
      <c r="D23" s="48">
        <f>230.7+158.8+520.8+110.9+465.7+246.3+3.9+169.6+1975.3+126.5+2+97.4+199.5+165.4+184.4+1288.4+1114.2+20.1+11.6</f>
        <v>7091.499999999999</v>
      </c>
      <c r="E23" s="1">
        <f>D23/D18*100</f>
        <v>12.482991341206455</v>
      </c>
      <c r="F23" s="1">
        <f t="shared" si="3"/>
        <v>61.03260121178737</v>
      </c>
      <c r="G23" s="1">
        <f t="shared" si="0"/>
        <v>25.504956050121557</v>
      </c>
      <c r="H23" s="48">
        <f t="shared" si="2"/>
        <v>4527.700000000002</v>
      </c>
      <c r="I23" s="48">
        <f t="shared" si="1"/>
        <v>20712.9</v>
      </c>
    </row>
    <row r="24" spans="1:9" ht="18">
      <c r="A24" s="26" t="s">
        <v>15</v>
      </c>
      <c r="B24" s="46">
        <v>529.8</v>
      </c>
      <c r="C24" s="47">
        <v>1591.6</v>
      </c>
      <c r="D24" s="48">
        <f>73.6+22.6+5.3+2.4+2.5+128.1+0.1+11.5+121.2+11.2-0.1</f>
        <v>378.4</v>
      </c>
      <c r="E24" s="1">
        <f>D24/D18*100</f>
        <v>0.666088122895371</v>
      </c>
      <c r="F24" s="1">
        <f t="shared" si="3"/>
        <v>71.4231785579464</v>
      </c>
      <c r="G24" s="1">
        <f t="shared" si="0"/>
        <v>23.77481779341543</v>
      </c>
      <c r="H24" s="48">
        <f t="shared" si="2"/>
        <v>151.39999999999998</v>
      </c>
      <c r="I24" s="48">
        <f t="shared" si="1"/>
        <v>1213.1999999999998</v>
      </c>
    </row>
    <row r="25" spans="1:9" ht="18.75" thickBot="1">
      <c r="A25" s="26" t="s">
        <v>34</v>
      </c>
      <c r="B25" s="47">
        <f>B18-B20-B21-B22-B23-B24</f>
        <v>1981.9999999999957</v>
      </c>
      <c r="C25" s="47">
        <f>C18-C20-C21-C22-C23-C24</f>
        <v>13082.100000000004</v>
      </c>
      <c r="D25" s="47">
        <f>D18-D20-D21-D22-D23-D24</f>
        <v>849.10000000001</v>
      </c>
      <c r="E25" s="1">
        <f>D25/D18*100</f>
        <v>1.49464964363231</v>
      </c>
      <c r="F25" s="1">
        <f t="shared" si="3"/>
        <v>42.840565085772546</v>
      </c>
      <c r="G25" s="1">
        <f t="shared" si="0"/>
        <v>6.490548153583979</v>
      </c>
      <c r="H25" s="48">
        <f t="shared" si="2"/>
        <v>1132.8999999999855</v>
      </c>
      <c r="I25" s="48">
        <f t="shared" si="1"/>
        <v>12232.999999999995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16896.7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</f>
        <v>11203.999999999998</v>
      </c>
      <c r="E33" s="3">
        <f>D33/D149*100</f>
        <v>4.097110739739851</v>
      </c>
      <c r="F33" s="3">
        <f>D33/B33*100</f>
        <v>66.30880586149956</v>
      </c>
      <c r="G33" s="3">
        <f t="shared" si="0"/>
        <v>22.280865382129566</v>
      </c>
      <c r="H33" s="51">
        <f t="shared" si="2"/>
        <v>5692.700000000003</v>
      </c>
      <c r="I33" s="51">
        <f t="shared" si="1"/>
        <v>39081.299999999996</v>
      </c>
    </row>
    <row r="34" spans="1:9" ht="18">
      <c r="A34" s="26" t="s">
        <v>3</v>
      </c>
      <c r="B34" s="46">
        <v>10922.5</v>
      </c>
      <c r="C34" s="47">
        <v>35016.6</v>
      </c>
      <c r="D34" s="48">
        <f>1335+1268.2+1354.9+1304.2+1357+1359.6</f>
        <v>7978.9</v>
      </c>
      <c r="E34" s="1">
        <f>D34/D33*100</f>
        <v>71.21474473402357</v>
      </c>
      <c r="F34" s="1">
        <f t="shared" si="3"/>
        <v>73.05012588693064</v>
      </c>
      <c r="G34" s="1">
        <f t="shared" si="0"/>
        <v>22.78605004483588</v>
      </c>
      <c r="H34" s="48">
        <f t="shared" si="2"/>
        <v>2943.6000000000004</v>
      </c>
      <c r="I34" s="48">
        <f t="shared" si="1"/>
        <v>27037.699999999997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1754.3</v>
      </c>
      <c r="C36" s="47">
        <v>3384.4</v>
      </c>
      <c r="D36" s="48">
        <f>10.5+61.2+112+1.1+10.5+29.3+0.6+6.8+9.7+3.4+19.2+41.9-0.2+31.7+187.3+26+0.6+2.4+24.9+11.7+8.1+0.1</f>
        <v>598.8000000000001</v>
      </c>
      <c r="E36" s="1">
        <f>D36/D33*100</f>
        <v>5.344519814352019</v>
      </c>
      <c r="F36" s="1">
        <f t="shared" si="3"/>
        <v>34.13327253035399</v>
      </c>
      <c r="G36" s="1">
        <f t="shared" si="0"/>
        <v>17.692944096442503</v>
      </c>
      <c r="H36" s="48">
        <f t="shared" si="2"/>
        <v>1155.5</v>
      </c>
      <c r="I36" s="48">
        <f t="shared" si="1"/>
        <v>2785.6</v>
      </c>
    </row>
    <row r="37" spans="1:9" s="41" customFormat="1" ht="18.75">
      <c r="A37" s="20" t="s">
        <v>7</v>
      </c>
      <c r="B37" s="55">
        <v>91.1</v>
      </c>
      <c r="C37" s="56">
        <v>929.3</v>
      </c>
      <c r="D37" s="57">
        <f>11.2+19.5+15.2+5+5.7-0.1+1.9+5.1+7+0.3+7.7</f>
        <v>78.5</v>
      </c>
      <c r="E37" s="17">
        <f>D37/D33*100</f>
        <v>0.7006426276329883</v>
      </c>
      <c r="F37" s="17">
        <f t="shared" si="3"/>
        <v>86.16904500548847</v>
      </c>
      <c r="G37" s="17">
        <f t="shared" si="0"/>
        <v>8.447218336382225</v>
      </c>
      <c r="H37" s="57">
        <f t="shared" si="2"/>
        <v>12.599999999999994</v>
      </c>
      <c r="I37" s="57">
        <f t="shared" si="1"/>
        <v>850.8</v>
      </c>
    </row>
    <row r="38" spans="1:9" ht="18">
      <c r="A38" s="26" t="s">
        <v>15</v>
      </c>
      <c r="B38" s="46">
        <v>20.4</v>
      </c>
      <c r="C38" s="47">
        <v>60.8</v>
      </c>
      <c r="D38" s="47">
        <f>5.1+5.1+5.1</f>
        <v>15.299999999999999</v>
      </c>
      <c r="E38" s="1">
        <f>D38/D33*100</f>
        <v>0.13655837200999643</v>
      </c>
      <c r="F38" s="1">
        <f t="shared" si="3"/>
        <v>75</v>
      </c>
      <c r="G38" s="1">
        <f t="shared" si="0"/>
        <v>25.164473684210524</v>
      </c>
      <c r="H38" s="48">
        <f t="shared" si="2"/>
        <v>5.1</v>
      </c>
      <c r="I38" s="48">
        <f t="shared" si="1"/>
        <v>45.5</v>
      </c>
    </row>
    <row r="39" spans="1:9" ht="18.75" thickBot="1">
      <c r="A39" s="26" t="s">
        <v>34</v>
      </c>
      <c r="B39" s="46">
        <f>B33-B34-B36-B37-B35-B38</f>
        <v>4108.400000000001</v>
      </c>
      <c r="C39" s="46">
        <f>C33-C34-C36-C37-C35-C38</f>
        <v>10894.199999999999</v>
      </c>
      <c r="D39" s="46">
        <f>D33-D34-D36-D37-D35-D38</f>
        <v>2532.499999999998</v>
      </c>
      <c r="E39" s="1">
        <f>D39/D33*100</f>
        <v>22.60353445198142</v>
      </c>
      <c r="F39" s="1">
        <f t="shared" si="3"/>
        <v>61.642001752507</v>
      </c>
      <c r="G39" s="1">
        <f t="shared" si="0"/>
        <v>23.246314552697754</v>
      </c>
      <c r="H39" s="48">
        <f>B39-D39</f>
        <v>1575.9000000000024</v>
      </c>
      <c r="I39" s="48">
        <f t="shared" si="1"/>
        <v>8361.7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339.1</v>
      </c>
      <c r="C43" s="50">
        <f>829.5+61</f>
        <v>890.5</v>
      </c>
      <c r="D43" s="51">
        <f>22.2+3+5+12.1+5.3+62.1+8.7+22.7+11.7+44.1-0.1</f>
        <v>196.79999999999998</v>
      </c>
      <c r="E43" s="3">
        <f>D43/D149*100</f>
        <v>0.07196638643170322</v>
      </c>
      <c r="F43" s="3">
        <f>D43/B43*100</f>
        <v>58.035977587732226</v>
      </c>
      <c r="G43" s="3">
        <f t="shared" si="0"/>
        <v>22.099943851768668</v>
      </c>
      <c r="H43" s="51">
        <f t="shared" si="2"/>
        <v>142.30000000000004</v>
      </c>
      <c r="I43" s="51">
        <f t="shared" si="1"/>
        <v>693.7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2579.3</v>
      </c>
      <c r="C45" s="50">
        <v>7741.6</v>
      </c>
      <c r="D45" s="51">
        <f>224.1+260.8+14.4+236.4+3.2+114.6+291.3+0.1+96+241.4+13.4+0.1+331+0.7-0.1</f>
        <v>1827.4</v>
      </c>
      <c r="E45" s="3">
        <f>D45/D149*100</f>
        <v>0.6682488544984475</v>
      </c>
      <c r="F45" s="3">
        <f>D45/B45*100</f>
        <v>70.84867987438453</v>
      </c>
      <c r="G45" s="3">
        <f aca="true" t="shared" si="4" ref="G45:G75">D45/C45*100</f>
        <v>23.604939547380386</v>
      </c>
      <c r="H45" s="51">
        <f>B45-D45</f>
        <v>751.9000000000001</v>
      </c>
      <c r="I45" s="51">
        <f aca="true" t="shared" si="5" ref="I45:I76">C45-D45</f>
        <v>5914.200000000001</v>
      </c>
    </row>
    <row r="46" spans="1:9" ht="18">
      <c r="A46" s="26" t="s">
        <v>3</v>
      </c>
      <c r="B46" s="46">
        <v>2139.9</v>
      </c>
      <c r="C46" s="47">
        <v>6753.6</v>
      </c>
      <c r="D46" s="48">
        <f>224.1+258.6+235.3+288.8+241.4+328.6</f>
        <v>1576.8000000000002</v>
      </c>
      <c r="E46" s="1">
        <f>D46/D45*100</f>
        <v>86.28652730655577</v>
      </c>
      <c r="F46" s="1">
        <f aca="true" t="shared" si="6" ref="F46:F73">D46/B46*100</f>
        <v>73.6856862470209</v>
      </c>
      <c r="G46" s="1">
        <f t="shared" si="4"/>
        <v>23.347547974413647</v>
      </c>
      <c r="H46" s="48">
        <f aca="true" t="shared" si="7" ref="H46:H73">B46-D46</f>
        <v>563.0999999999999</v>
      </c>
      <c r="I46" s="48">
        <f t="shared" si="5"/>
        <v>5176.8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0.043778045310276896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21.2</v>
      </c>
      <c r="C48" s="47">
        <v>70.7</v>
      </c>
      <c r="D48" s="48">
        <f>0.2+2.1+0.1+6.5</f>
        <v>8.9</v>
      </c>
      <c r="E48" s="1">
        <f>D48/D45*100</f>
        <v>0.4870307540768305</v>
      </c>
      <c r="F48" s="1">
        <f t="shared" si="6"/>
        <v>41.9811320754717</v>
      </c>
      <c r="G48" s="1">
        <f t="shared" si="4"/>
        <v>12.588401697312587</v>
      </c>
      <c r="H48" s="48">
        <f t="shared" si="7"/>
        <v>12.299999999999999</v>
      </c>
      <c r="I48" s="48">
        <f t="shared" si="5"/>
        <v>61.800000000000004</v>
      </c>
    </row>
    <row r="49" spans="1:9" ht="18">
      <c r="A49" s="26" t="s">
        <v>0</v>
      </c>
      <c r="B49" s="46">
        <v>311.5</v>
      </c>
      <c r="C49" s="47">
        <v>568.5</v>
      </c>
      <c r="D49" s="48">
        <f>2.2+2.5+0.8+112.4+2.2+0.1+69.1+4.4-0.1</f>
        <v>193.60000000000002</v>
      </c>
      <c r="E49" s="1">
        <f>D49/D45*100</f>
        <v>10.59428696508701</v>
      </c>
      <c r="F49" s="1">
        <f t="shared" si="6"/>
        <v>62.150882825040135</v>
      </c>
      <c r="G49" s="1">
        <f t="shared" si="4"/>
        <v>34.054529463500444</v>
      </c>
      <c r="H49" s="48">
        <f t="shared" si="7"/>
        <v>117.89999999999998</v>
      </c>
      <c r="I49" s="48">
        <f t="shared" si="5"/>
        <v>374.9</v>
      </c>
    </row>
    <row r="50" spans="1:9" ht="18.75" thickBot="1">
      <c r="A50" s="26" t="s">
        <v>34</v>
      </c>
      <c r="B50" s="47">
        <f>B45-B46-B49-B48-B47</f>
        <v>105.90000000000009</v>
      </c>
      <c r="C50" s="47">
        <f>C45-C46-C49-C48-C47</f>
        <v>347.5</v>
      </c>
      <c r="D50" s="47">
        <f>D45-D46-D49-D48-D47</f>
        <v>47.29999999999989</v>
      </c>
      <c r="E50" s="1">
        <f>D50/D45*100</f>
        <v>2.5883769289701153</v>
      </c>
      <c r="F50" s="1">
        <f t="shared" si="6"/>
        <v>44.66477809253999</v>
      </c>
      <c r="G50" s="1">
        <f t="shared" si="4"/>
        <v>13.611510791366873</v>
      </c>
      <c r="H50" s="48">
        <f t="shared" si="7"/>
        <v>58.6000000000002</v>
      </c>
      <c r="I50" s="48">
        <f t="shared" si="5"/>
        <v>300.2000000000001</v>
      </c>
    </row>
    <row r="51" spans="1:9" ht="18.75" thickBot="1">
      <c r="A51" s="25" t="s">
        <v>4</v>
      </c>
      <c r="B51" s="49">
        <v>5297.9</v>
      </c>
      <c r="C51" s="50">
        <f>16075.7+36.8</f>
        <v>16112.5</v>
      </c>
      <c r="D51" s="51">
        <f>8+294.9+37.1+10.7+29.1+464+10.3+76.6+3.8+16.5+359.8+101.4+28.4+17.4+423.7+90.6+34.9+37+0.1+9.1+9.3+297.9+22+64.6+70.7+6+66.1+10+1+492.9+75.6+12.9+0.1</f>
        <v>3182.5</v>
      </c>
      <c r="E51" s="3">
        <f>D51/D149*100</f>
        <v>1.163785695217965</v>
      </c>
      <c r="F51" s="3">
        <f>D51/B51*100</f>
        <v>60.07097151701618</v>
      </c>
      <c r="G51" s="3">
        <f t="shared" si="4"/>
        <v>19.751745539177655</v>
      </c>
      <c r="H51" s="51">
        <f>B51-D51</f>
        <v>2115.3999999999996</v>
      </c>
      <c r="I51" s="51">
        <f t="shared" si="5"/>
        <v>12930</v>
      </c>
    </row>
    <row r="52" spans="1:9" ht="18">
      <c r="A52" s="26" t="s">
        <v>3</v>
      </c>
      <c r="B52" s="46">
        <v>3046.7</v>
      </c>
      <c r="C52" s="47">
        <v>10328.7</v>
      </c>
      <c r="D52" s="48">
        <f>8+294.9+437.7+298.5+423.7+297.9+451.2</f>
        <v>2211.8999999999996</v>
      </c>
      <c r="E52" s="1">
        <f>D52/D51*100</f>
        <v>69.50196386488608</v>
      </c>
      <c r="F52" s="1">
        <f t="shared" si="6"/>
        <v>72.59986214592837</v>
      </c>
      <c r="G52" s="1">
        <f t="shared" si="4"/>
        <v>21.41508611925992</v>
      </c>
      <c r="H52" s="48">
        <f t="shared" si="7"/>
        <v>834.8000000000002</v>
      </c>
      <c r="I52" s="48">
        <f t="shared" si="5"/>
        <v>8116.800000000001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87.8</v>
      </c>
      <c r="C54" s="47">
        <v>287</v>
      </c>
      <c r="D54" s="48">
        <f>1.3+0.7+2.1+1+1.3+7.6+7.5+6.3+0.4</f>
        <v>28.2</v>
      </c>
      <c r="E54" s="1">
        <f>D54/D51*100</f>
        <v>0.8860958366064415</v>
      </c>
      <c r="F54" s="1">
        <f t="shared" si="6"/>
        <v>32.11845102505695</v>
      </c>
      <c r="G54" s="1">
        <f t="shared" si="4"/>
        <v>9.825783972125436</v>
      </c>
      <c r="H54" s="48">
        <f t="shared" si="7"/>
        <v>59.599999999999994</v>
      </c>
      <c r="I54" s="48">
        <f t="shared" si="5"/>
        <v>258.8</v>
      </c>
    </row>
    <row r="55" spans="1:9" ht="18">
      <c r="A55" s="26" t="s">
        <v>0</v>
      </c>
      <c r="B55" s="46">
        <v>461.6</v>
      </c>
      <c r="C55" s="47">
        <v>933.1</v>
      </c>
      <c r="D55" s="48">
        <f>10.7+0.6+7.6+85.1+28.4+14.4+0.1+8.5+0.1+7+0.1+7.7+62.8+6+1.3+0.9+0.9+1+0.7+0.1</f>
        <v>243.99999999999997</v>
      </c>
      <c r="E55" s="1">
        <f>D55/D51*100</f>
        <v>7.666928515318146</v>
      </c>
      <c r="F55" s="1">
        <f t="shared" si="6"/>
        <v>52.85961871750432</v>
      </c>
      <c r="G55" s="1">
        <f t="shared" si="4"/>
        <v>26.14939449148001</v>
      </c>
      <c r="H55" s="48">
        <f t="shared" si="7"/>
        <v>217.60000000000005</v>
      </c>
      <c r="I55" s="48">
        <f t="shared" si="5"/>
        <v>689.1</v>
      </c>
    </row>
    <row r="56" spans="1:9" ht="18.75" thickBot="1">
      <c r="A56" s="26" t="s">
        <v>34</v>
      </c>
      <c r="B56" s="47">
        <f>B51-B52-B55-B54-B53</f>
        <v>1701.8</v>
      </c>
      <c r="C56" s="47">
        <f>C51-C52-C55-C54-C53</f>
        <v>4551.699999999999</v>
      </c>
      <c r="D56" s="47">
        <f>D51-D52-D55-D54-D53</f>
        <v>698.4000000000003</v>
      </c>
      <c r="E56" s="1">
        <f>D56/D51*100</f>
        <v>21.94501178318933</v>
      </c>
      <c r="F56" s="1">
        <f t="shared" si="6"/>
        <v>41.038899988247756</v>
      </c>
      <c r="G56" s="1">
        <f t="shared" si="4"/>
        <v>15.343717731836467</v>
      </c>
      <c r="H56" s="48">
        <f t="shared" si="7"/>
        <v>1003.3999999999996</v>
      </c>
      <c r="I56" s="48">
        <f>C56-D56</f>
        <v>3853.2999999999984</v>
      </c>
    </row>
    <row r="57" spans="1:9" s="41" customFormat="1" ht="19.5" hidden="1" thickBot="1">
      <c r="A57" s="104" t="s">
        <v>82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826.3</v>
      </c>
      <c r="C58" s="50">
        <v>5881.8</v>
      </c>
      <c r="D58" s="51">
        <f>43.5+4.7+72.8+47.2+46+5+62.5+3.8+40.9+35.3+2.1+2.9+21.1+3.9+86.8</f>
        <v>478.5</v>
      </c>
      <c r="E58" s="3">
        <f>D58/D149*100</f>
        <v>0.17497924749781502</v>
      </c>
      <c r="F58" s="3">
        <f>D58/B58*100</f>
        <v>57.90874984872323</v>
      </c>
      <c r="G58" s="3">
        <f t="shared" si="4"/>
        <v>8.1352647148832</v>
      </c>
      <c r="H58" s="51">
        <f>B58-D58</f>
        <v>347.79999999999995</v>
      </c>
      <c r="I58" s="51">
        <f t="shared" si="5"/>
        <v>5403.3</v>
      </c>
    </row>
    <row r="59" spans="1:9" ht="18">
      <c r="A59" s="26" t="s">
        <v>3</v>
      </c>
      <c r="B59" s="46">
        <v>475.4</v>
      </c>
      <c r="C59" s="47">
        <v>1508.2</v>
      </c>
      <c r="D59" s="48">
        <f>43.5+72.8+47.2+62.5+0.1+35.3+86.8</f>
        <v>348.2</v>
      </c>
      <c r="E59" s="1">
        <f>D59/D58*100</f>
        <v>72.76907001044933</v>
      </c>
      <c r="F59" s="1">
        <f t="shared" si="6"/>
        <v>73.24358435002104</v>
      </c>
      <c r="G59" s="1">
        <f t="shared" si="4"/>
        <v>23.087123723644076</v>
      </c>
      <c r="H59" s="48">
        <f t="shared" si="7"/>
        <v>127.19999999999999</v>
      </c>
      <c r="I59" s="48">
        <f t="shared" si="5"/>
        <v>1160</v>
      </c>
    </row>
    <row r="60" spans="1:9" ht="18">
      <c r="A60" s="26" t="s">
        <v>1</v>
      </c>
      <c r="B60" s="46">
        <v>0</v>
      </c>
      <c r="C60" s="47">
        <v>331.8</v>
      </c>
      <c r="D60" s="48"/>
      <c r="E60" s="1">
        <f>D60/D58*100</f>
        <v>0</v>
      </c>
      <c r="F60" s="111" t="e">
        <f>D60/B60*100</f>
        <v>#DIV/0!</v>
      </c>
      <c r="G60" s="1">
        <f t="shared" si="4"/>
        <v>0</v>
      </c>
      <c r="H60" s="48">
        <f t="shared" si="7"/>
        <v>0</v>
      </c>
      <c r="I60" s="48">
        <f t="shared" si="5"/>
        <v>331.8</v>
      </c>
    </row>
    <row r="61" spans="1:9" ht="18">
      <c r="A61" s="26" t="s">
        <v>0</v>
      </c>
      <c r="B61" s="46">
        <v>307</v>
      </c>
      <c r="C61" s="47">
        <v>627.5</v>
      </c>
      <c r="D61" s="48">
        <f>4.7+45.7+4.9+40.9+19.8+3.9</f>
        <v>119.9</v>
      </c>
      <c r="E61" s="1">
        <f>D61/D58*100</f>
        <v>25.05747126436782</v>
      </c>
      <c r="F61" s="1">
        <f t="shared" si="6"/>
        <v>39.05537459283388</v>
      </c>
      <c r="G61" s="1">
        <f t="shared" si="4"/>
        <v>19.10756972111554</v>
      </c>
      <c r="H61" s="48">
        <f t="shared" si="7"/>
        <v>187.1</v>
      </c>
      <c r="I61" s="48">
        <f t="shared" si="5"/>
        <v>507.6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43.89999999999998</v>
      </c>
      <c r="C63" s="47">
        <f>C58-C59-C61-C62-C60</f>
        <v>198.10000000000053</v>
      </c>
      <c r="D63" s="47">
        <f>D58-D59-D61-D62-D60</f>
        <v>10.400000000000006</v>
      </c>
      <c r="E63" s="1">
        <f>D63/D58*100</f>
        <v>2.1734587251828645</v>
      </c>
      <c r="F63" s="1">
        <f t="shared" si="6"/>
        <v>23.690205011389548</v>
      </c>
      <c r="G63" s="1">
        <f t="shared" si="4"/>
        <v>5.249873801110539</v>
      </c>
      <c r="H63" s="48">
        <f t="shared" si="7"/>
        <v>33.49999999999997</v>
      </c>
      <c r="I63" s="48">
        <f t="shared" si="5"/>
        <v>187.70000000000053</v>
      </c>
    </row>
    <row r="64" spans="1:9" s="41" customFormat="1" ht="19.5" hidden="1" thickBot="1">
      <c r="A64" s="104" t="s">
        <v>93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79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80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81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173</v>
      </c>
      <c r="C68" s="50">
        <f>C69+C70</f>
        <v>418.4</v>
      </c>
      <c r="D68" s="51">
        <f>SUM(D69:D70)</f>
        <v>71.4</v>
      </c>
      <c r="E68" s="39">
        <f>D68/D149*100</f>
        <v>0.026109756052965505</v>
      </c>
      <c r="F68" s="3">
        <f>D68/B68*100</f>
        <v>41.27167630057804</v>
      </c>
      <c r="G68" s="3">
        <f t="shared" si="4"/>
        <v>17.065009560229445</v>
      </c>
      <c r="H68" s="51">
        <f>B68-D68</f>
        <v>101.6</v>
      </c>
      <c r="I68" s="51">
        <f t="shared" si="5"/>
        <v>347</v>
      </c>
    </row>
    <row r="69" spans="1:9" ht="18">
      <c r="A69" s="26" t="s">
        <v>8</v>
      </c>
      <c r="B69" s="46">
        <v>96.6</v>
      </c>
      <c r="C69" s="47">
        <v>171</v>
      </c>
      <c r="D69" s="48">
        <f>3.9+1+3+8.8+1.5+9.8+5+38.4</f>
        <v>71.4</v>
      </c>
      <c r="E69" s="1">
        <f>D69/D68*100</f>
        <v>100</v>
      </c>
      <c r="F69" s="1">
        <f t="shared" si="6"/>
        <v>73.91304347826087</v>
      </c>
      <c r="G69" s="1">
        <f t="shared" si="4"/>
        <v>41.75438596491228</v>
      </c>
      <c r="H69" s="48">
        <f t="shared" si="7"/>
        <v>25.19999999999999</v>
      </c>
      <c r="I69" s="48">
        <f t="shared" si="5"/>
        <v>99.6</v>
      </c>
    </row>
    <row r="70" spans="1:9" ht="18.75" thickBot="1">
      <c r="A70" s="26" t="s">
        <v>9</v>
      </c>
      <c r="B70" s="46">
        <v>76.4</v>
      </c>
      <c r="C70" s="47">
        <f>253.4-6</f>
        <v>247.4</v>
      </c>
      <c r="D70" s="48"/>
      <c r="E70" s="1">
        <f>D70/D69*100</f>
        <v>0</v>
      </c>
      <c r="F70" s="1">
        <f t="shared" si="6"/>
        <v>0</v>
      </c>
      <c r="G70" s="1">
        <f t="shared" si="4"/>
        <v>0</v>
      </c>
      <c r="H70" s="48">
        <f t="shared" si="7"/>
        <v>76.4</v>
      </c>
      <c r="I70" s="48">
        <f t="shared" si="5"/>
        <v>247.4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55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56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3333.3</v>
      </c>
      <c r="C76" s="66">
        <v>10000</v>
      </c>
      <c r="D76" s="67"/>
      <c r="E76" s="45"/>
      <c r="F76" s="45"/>
      <c r="G76" s="45"/>
      <c r="H76" s="67">
        <f>B76-D76</f>
        <v>3333.3</v>
      </c>
      <c r="I76" s="67">
        <f t="shared" si="5"/>
        <v>10000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73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72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66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21169.9</v>
      </c>
      <c r="C89" s="50">
        <f>50201.5+5861</f>
        <v>56062.5</v>
      </c>
      <c r="D89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</f>
        <v>13452.6</v>
      </c>
      <c r="E89" s="3">
        <f>D89/D149*100</f>
        <v>4.919385213979323</v>
      </c>
      <c r="F89" s="3">
        <f aca="true" t="shared" si="10" ref="F89:F95">D89/B89*100</f>
        <v>63.545883542199064</v>
      </c>
      <c r="G89" s="3">
        <f t="shared" si="8"/>
        <v>23.995719063545152</v>
      </c>
      <c r="H89" s="51">
        <f aca="true" t="shared" si="11" ref="H89:H95">B89-D89</f>
        <v>7717.300000000001</v>
      </c>
      <c r="I89" s="51">
        <f t="shared" si="9"/>
        <v>42609.9</v>
      </c>
    </row>
    <row r="90" spans="1:9" ht="18">
      <c r="A90" s="26" t="s">
        <v>3</v>
      </c>
      <c r="B90" s="46">
        <v>17909.8</v>
      </c>
      <c r="C90" s="47">
        <f>41785.6+5825.3</f>
        <v>47610.9</v>
      </c>
      <c r="D90" s="48">
        <f>504.1+600.9+12.5+0.1+294.4+657+710.4+56.2+67.4+61.4+375.5+513+243.5+0.3+0.2+0.2+1502.8+529.2+582+0.1+29+142.9+14.9+1.9+241.9+972.3+146.3+19.4+5.4+12.1+245.6+356.2+677.7+532.7+2059.5-0.2</f>
        <v>12168.8</v>
      </c>
      <c r="E90" s="1">
        <f>D90/D89*100</f>
        <v>90.45686335726923</v>
      </c>
      <c r="F90" s="1">
        <f t="shared" si="10"/>
        <v>67.94492400808497</v>
      </c>
      <c r="G90" s="1">
        <f t="shared" si="8"/>
        <v>25.558853119768788</v>
      </c>
      <c r="H90" s="48">
        <f t="shared" si="11"/>
        <v>5741</v>
      </c>
      <c r="I90" s="48">
        <f t="shared" si="9"/>
        <v>35442.100000000006</v>
      </c>
    </row>
    <row r="91" spans="1:9" ht="18">
      <c r="A91" s="26" t="s">
        <v>32</v>
      </c>
      <c r="B91" s="46">
        <v>1196.9</v>
      </c>
      <c r="C91" s="47">
        <v>2476</v>
      </c>
      <c r="D91" s="48">
        <f>9.8+96.8+35.3+50.2+1.4+30+1.1+18.1+138.1+43.8+4.2+9.3+27.5+5.8+0.2</f>
        <v>471.59999999999997</v>
      </c>
      <c r="E91" s="1">
        <f>D91/D89*100</f>
        <v>3.505642032023549</v>
      </c>
      <c r="F91" s="1">
        <f t="shared" si="10"/>
        <v>39.40178795220987</v>
      </c>
      <c r="G91" s="1">
        <f t="shared" si="8"/>
        <v>19.046849757673666</v>
      </c>
      <c r="H91" s="48">
        <f t="shared" si="11"/>
        <v>725.3000000000002</v>
      </c>
      <c r="I91" s="48">
        <f t="shared" si="9"/>
        <v>2004.4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2063.200000000002</v>
      </c>
      <c r="C93" s="47">
        <f>C89-C90-C91-C92</f>
        <v>5975.5999999999985</v>
      </c>
      <c r="D93" s="47">
        <f>D89-D90-D91-D92</f>
        <v>812.2000000000012</v>
      </c>
      <c r="E93" s="1">
        <f>D93/D89*100</f>
        <v>6.037494610707232</v>
      </c>
      <c r="F93" s="1">
        <f t="shared" si="10"/>
        <v>39.366033346258256</v>
      </c>
      <c r="G93" s="1">
        <f>D93/C93*100</f>
        <v>13.591940558270322</v>
      </c>
      <c r="H93" s="48">
        <f t="shared" si="11"/>
        <v>1251.000000000001</v>
      </c>
      <c r="I93" s="48">
        <f>C93-D93</f>
        <v>5163.399999999998</v>
      </c>
    </row>
    <row r="94" spans="1:9" ht="18.75">
      <c r="A94" s="116" t="s">
        <v>12</v>
      </c>
      <c r="B94" s="119">
        <v>31318.1</v>
      </c>
      <c r="C94" s="121">
        <f>63500.4+11490.6+4535.2</f>
        <v>79526.2</v>
      </c>
      <c r="D94" s="120">
        <f>3050.1+485.9+95+377.6+203.9+57.3+702.6+368.5+68.4+157.9+4015.3+212.6+788.4+894.3+61.1+517.2+111.3+0.1+1461.7+564.4+1326.7+460.8+228+635.4+59+64.9+563.2+1630.6+5816.4</f>
        <v>24978.6</v>
      </c>
      <c r="E94" s="115">
        <f>D94/D149*100</f>
        <v>9.134245833958039</v>
      </c>
      <c r="F94" s="118">
        <f t="shared" si="10"/>
        <v>79.75771199402263</v>
      </c>
      <c r="G94" s="114">
        <f>D94/C94*100</f>
        <v>31.40927140992528</v>
      </c>
      <c r="H94" s="120">
        <f t="shared" si="11"/>
        <v>6339.5</v>
      </c>
      <c r="I94" s="130">
        <f>C94-D94</f>
        <v>54547.6</v>
      </c>
    </row>
    <row r="95" spans="1:9" ht="18.75" thickBot="1">
      <c r="A95" s="117" t="s">
        <v>100</v>
      </c>
      <c r="B95" s="122">
        <v>1770</v>
      </c>
      <c r="C95" s="123">
        <v>5343.5</v>
      </c>
      <c r="D95" s="124">
        <f>57.3+368.5+61.1+0.1+320+59+0.8+309</f>
        <v>1175.8</v>
      </c>
      <c r="E95" s="125">
        <f>D95/D94*100</f>
        <v>4.707229388356433</v>
      </c>
      <c r="F95" s="126">
        <f t="shared" si="10"/>
        <v>66.42937853107344</v>
      </c>
      <c r="G95" s="127">
        <f>D95/C95*100</f>
        <v>22.004304294937775</v>
      </c>
      <c r="H95" s="131">
        <f t="shared" si="11"/>
        <v>594.2</v>
      </c>
      <c r="I95" s="132">
        <f>C95-D95</f>
        <v>4167.7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63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3520.9</v>
      </c>
      <c r="C101" s="100">
        <v>10703.3</v>
      </c>
      <c r="D101" s="87">
        <f>40+388.7+47.5+2+10.9+26+40+10.7+4.9+126.7+451+1.9+19.2+1.6+31.5+41+134.3+2+40+303.9+42.9+136.5+32.6+15.2+0.1</f>
        <v>1951.1000000000001</v>
      </c>
      <c r="E101" s="22">
        <f>D101/D149*100</f>
        <v>0.7134838240187813</v>
      </c>
      <c r="F101" s="22">
        <f>D101/B101*100</f>
        <v>55.41480871368116</v>
      </c>
      <c r="G101" s="22">
        <f aca="true" t="shared" si="12" ref="G101:G147">D101/C101*100</f>
        <v>18.228957424345765</v>
      </c>
      <c r="H101" s="87">
        <f aca="true" t="shared" si="13" ref="H101:H106">B101-D101</f>
        <v>1569.8</v>
      </c>
      <c r="I101" s="87">
        <f aca="true" t="shared" si="14" ref="I101:I147">C101-D101</f>
        <v>8752.199999999999</v>
      </c>
    </row>
    <row r="102" spans="1:9" ht="18">
      <c r="A102" s="26" t="s">
        <v>3</v>
      </c>
      <c r="B102" s="97">
        <v>29.6</v>
      </c>
      <c r="C102" s="95">
        <v>187.6</v>
      </c>
      <c r="D102" s="95"/>
      <c r="E102" s="91">
        <f>D102/D101*100</f>
        <v>0</v>
      </c>
      <c r="F102" s="111">
        <f>D102/B102*100</f>
        <v>0</v>
      </c>
      <c r="G102" s="91">
        <f>D102/C102*100</f>
        <v>0</v>
      </c>
      <c r="H102" s="95">
        <f t="shared" si="13"/>
        <v>29.6</v>
      </c>
      <c r="I102" s="95">
        <f t="shared" si="14"/>
        <v>187.6</v>
      </c>
    </row>
    <row r="103" spans="1:9" ht="18">
      <c r="A103" s="93" t="s">
        <v>60</v>
      </c>
      <c r="B103" s="78">
        <v>2969.7</v>
      </c>
      <c r="C103" s="48">
        <v>8863.3</v>
      </c>
      <c r="D103" s="48">
        <f>39.8+388.5+20.6+2+26+40+4.1+126.5+407.9+18+31.2+40.6+134.1+2+40+303.9+135.8+32.6+7.9+0.1</f>
        <v>1801.5999999999997</v>
      </c>
      <c r="E103" s="1">
        <f>D103/D101*100</f>
        <v>92.33765568141047</v>
      </c>
      <c r="F103" s="1">
        <f aca="true" t="shared" si="15" ref="F103:F147">D103/B103*100</f>
        <v>60.66606054483618</v>
      </c>
      <c r="G103" s="1">
        <f t="shared" si="12"/>
        <v>20.32651495492649</v>
      </c>
      <c r="H103" s="48">
        <f t="shared" si="13"/>
        <v>1168.1000000000001</v>
      </c>
      <c r="I103" s="48">
        <f t="shared" si="14"/>
        <v>7061.7</v>
      </c>
    </row>
    <row r="104" spans="1:9" ht="54.75" hidden="1" thickBot="1">
      <c r="A104" s="94" t="s">
        <v>96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521.6000000000004</v>
      </c>
      <c r="C105" s="96">
        <f>C101-C102-C103</f>
        <v>1652.3999999999996</v>
      </c>
      <c r="D105" s="96">
        <f>D101-D102-D103</f>
        <v>149.50000000000045</v>
      </c>
      <c r="E105" s="92">
        <f>D105/D101*100</f>
        <v>7.662344318589537</v>
      </c>
      <c r="F105" s="92">
        <f t="shared" si="15"/>
        <v>28.66180981595099</v>
      </c>
      <c r="G105" s="92">
        <f t="shared" si="12"/>
        <v>9.047446138949436</v>
      </c>
      <c r="H105" s="132">
        <f>B105-D105</f>
        <v>372.0999999999999</v>
      </c>
      <c r="I105" s="132">
        <f t="shared" si="14"/>
        <v>1502.8999999999992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116829.2</v>
      </c>
      <c r="C106" s="89">
        <f>SUM(C107:C146)-C114-C118+C147-C138-C139-C108-C111-C121-C122-C136-C130-C128</f>
        <v>466340.3</v>
      </c>
      <c r="D106" s="89">
        <f>SUM(D107:D146)-D114-D118+D147-D138-D139-D108-D111-D121-D122-D136-D130-D128</f>
        <v>57956.600000000006</v>
      </c>
      <c r="E106" s="90">
        <f>D106/D149*100</f>
        <v>21.193735121278717</v>
      </c>
      <c r="F106" s="90">
        <f>D106/B106*100</f>
        <v>49.60797471864911</v>
      </c>
      <c r="G106" s="90">
        <f t="shared" si="12"/>
        <v>12.42796301327593</v>
      </c>
      <c r="H106" s="89">
        <f t="shared" si="13"/>
        <v>58872.59999999999</v>
      </c>
      <c r="I106" s="89">
        <f t="shared" si="14"/>
        <v>408383.69999999995</v>
      </c>
    </row>
    <row r="107" spans="1:9" ht="37.5">
      <c r="A107" s="31" t="s">
        <v>64</v>
      </c>
      <c r="B107" s="75">
        <v>887.3</v>
      </c>
      <c r="C107" s="71">
        <v>2166.2</v>
      </c>
      <c r="D107" s="76">
        <f>142.7+0.9+78.6+37.4+44.2+140.1+1</f>
        <v>444.9</v>
      </c>
      <c r="E107" s="6">
        <f>D107/D106*100</f>
        <v>0.7676433745250755</v>
      </c>
      <c r="F107" s="6">
        <f t="shared" si="15"/>
        <v>50.14087681731094</v>
      </c>
      <c r="G107" s="6">
        <f t="shared" si="12"/>
        <v>20.53826978118364</v>
      </c>
      <c r="H107" s="65">
        <f aca="true" t="shared" si="16" ref="H107:H147">B107-D107</f>
        <v>442.4</v>
      </c>
      <c r="I107" s="65">
        <f t="shared" si="14"/>
        <v>1721.2999999999997</v>
      </c>
    </row>
    <row r="108" spans="1:9" ht="18">
      <c r="A108" s="26" t="s">
        <v>32</v>
      </c>
      <c r="B108" s="78">
        <v>544.4</v>
      </c>
      <c r="C108" s="48">
        <v>1213.5</v>
      </c>
      <c r="D108" s="79">
        <f>142.7+0.9+78.6+37.4</f>
        <v>259.59999999999997</v>
      </c>
      <c r="E108" s="1">
        <f>D108/D107*100</f>
        <v>58.35019105416948</v>
      </c>
      <c r="F108" s="1">
        <f t="shared" si="15"/>
        <v>47.68552534900808</v>
      </c>
      <c r="G108" s="1">
        <f t="shared" si="12"/>
        <v>21.392665842604035</v>
      </c>
      <c r="H108" s="48">
        <f t="shared" si="16"/>
        <v>284.8</v>
      </c>
      <c r="I108" s="48">
        <f t="shared" si="14"/>
        <v>953.9000000000001</v>
      </c>
    </row>
    <row r="109" spans="1:9" ht="34.5" customHeight="1">
      <c r="A109" s="16" t="s">
        <v>95</v>
      </c>
      <c r="B109" s="77">
        <v>141.1</v>
      </c>
      <c r="C109" s="65">
        <v>778.3</v>
      </c>
      <c r="D109" s="76">
        <f>26.5+20.2+7.7+37.4</f>
        <v>91.80000000000001</v>
      </c>
      <c r="E109" s="6">
        <f>D109/D106*100</f>
        <v>0.15839438476377152</v>
      </c>
      <c r="F109" s="6">
        <f>D109/B109*100</f>
        <v>65.06024096385543</v>
      </c>
      <c r="G109" s="6">
        <f t="shared" si="12"/>
        <v>11.79493768469742</v>
      </c>
      <c r="H109" s="65">
        <f t="shared" si="16"/>
        <v>49.29999999999998</v>
      </c>
      <c r="I109" s="65">
        <f t="shared" si="14"/>
        <v>686.5</v>
      </c>
    </row>
    <row r="110" spans="1:9" s="41" customFormat="1" ht="34.5" customHeight="1">
      <c r="A110" s="16" t="s">
        <v>71</v>
      </c>
      <c r="B110" s="77">
        <v>38</v>
      </c>
      <c r="C110" s="57">
        <v>774.1</v>
      </c>
      <c r="D110" s="80"/>
      <c r="E110" s="6">
        <f>D110/D106*100</f>
        <v>0</v>
      </c>
      <c r="F110" s="6">
        <f t="shared" si="15"/>
        <v>0</v>
      </c>
      <c r="G110" s="6">
        <f t="shared" si="12"/>
        <v>0</v>
      </c>
      <c r="H110" s="65">
        <f t="shared" si="16"/>
        <v>38</v>
      </c>
      <c r="I110" s="65">
        <f t="shared" si="14"/>
        <v>774.1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115</v>
      </c>
      <c r="B112" s="77">
        <v>10</v>
      </c>
      <c r="C112" s="65">
        <v>50</v>
      </c>
      <c r="D112" s="76"/>
      <c r="E112" s="6">
        <f>D112/D106*100</f>
        <v>0</v>
      </c>
      <c r="F112" s="133">
        <f t="shared" si="15"/>
        <v>0</v>
      </c>
      <c r="G112" s="6">
        <f t="shared" si="12"/>
        <v>0</v>
      </c>
      <c r="H112" s="65">
        <f t="shared" si="16"/>
        <v>10</v>
      </c>
      <c r="I112" s="65">
        <f t="shared" si="14"/>
        <v>50</v>
      </c>
    </row>
    <row r="113" spans="1:9" ht="37.5">
      <c r="A113" s="16" t="s">
        <v>46</v>
      </c>
      <c r="B113" s="77">
        <v>648.2</v>
      </c>
      <c r="C113" s="65">
        <v>1795.8</v>
      </c>
      <c r="D113" s="76">
        <f>82.2+4.4+0.2+16.8+100.8+0.1+8.3+21.3+93.2</f>
        <v>327.3</v>
      </c>
      <c r="E113" s="6">
        <f>D113/D106*100</f>
        <v>0.564732920840767</v>
      </c>
      <c r="F113" s="6">
        <f t="shared" si="15"/>
        <v>50.493674791730946</v>
      </c>
      <c r="G113" s="6">
        <f t="shared" si="12"/>
        <v>18.22586034079519</v>
      </c>
      <c r="H113" s="65">
        <f t="shared" si="16"/>
        <v>320.90000000000003</v>
      </c>
      <c r="I113" s="65">
        <f t="shared" si="14"/>
        <v>1468.5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>
      <c r="A115" s="16" t="s">
        <v>116</v>
      </c>
      <c r="B115" s="77">
        <v>23.2</v>
      </c>
      <c r="C115" s="57">
        <v>264.5</v>
      </c>
      <c r="D115" s="80"/>
      <c r="E115" s="17">
        <f>D115/D106*100</f>
        <v>0</v>
      </c>
      <c r="F115" s="6">
        <f t="shared" si="15"/>
        <v>0</v>
      </c>
      <c r="G115" s="17">
        <f t="shared" si="12"/>
        <v>0</v>
      </c>
      <c r="H115" s="57">
        <f t="shared" si="16"/>
        <v>23.2</v>
      </c>
      <c r="I115" s="57">
        <f t="shared" si="14"/>
        <v>264.5</v>
      </c>
    </row>
    <row r="116" spans="1:9" ht="37.5">
      <c r="A116" s="16" t="s">
        <v>57</v>
      </c>
      <c r="B116" s="77">
        <v>40</v>
      </c>
      <c r="C116" s="65">
        <v>110</v>
      </c>
      <c r="D116" s="76"/>
      <c r="E116" s="6">
        <f>D116/D106*100</f>
        <v>0</v>
      </c>
      <c r="F116" s="6">
        <f>D116/B116*100</f>
        <v>0</v>
      </c>
      <c r="G116" s="6">
        <f t="shared" si="12"/>
        <v>0</v>
      </c>
      <c r="H116" s="65">
        <f t="shared" si="16"/>
        <v>40</v>
      </c>
      <c r="I116" s="65">
        <f t="shared" si="14"/>
        <v>110</v>
      </c>
    </row>
    <row r="117" spans="1:9" s="2" customFormat="1" ht="18.75">
      <c r="A117" s="16" t="s">
        <v>16</v>
      </c>
      <c r="B117" s="77">
        <v>84.9</v>
      </c>
      <c r="C117" s="57">
        <v>229.6</v>
      </c>
      <c r="D117" s="76">
        <f>17.1-0.3+0.8+0.3+21.4+4.2+0.3+17.6</f>
        <v>61.4</v>
      </c>
      <c r="E117" s="6">
        <f>D117/D106*100</f>
        <v>0.10594134231476655</v>
      </c>
      <c r="F117" s="6">
        <f t="shared" si="15"/>
        <v>72.32037691401648</v>
      </c>
      <c r="G117" s="6">
        <f t="shared" si="12"/>
        <v>26.742160278745647</v>
      </c>
      <c r="H117" s="65">
        <f t="shared" si="16"/>
        <v>23.500000000000007</v>
      </c>
      <c r="I117" s="65">
        <f t="shared" si="14"/>
        <v>168.2</v>
      </c>
    </row>
    <row r="118" spans="1:9" s="36" customFormat="1" ht="18">
      <c r="A118" s="37" t="s">
        <v>53</v>
      </c>
      <c r="B118" s="78">
        <v>67.2</v>
      </c>
      <c r="C118" s="48">
        <v>170.2</v>
      </c>
      <c r="D118" s="79">
        <f>17.1-0.3+16.8+16.8</f>
        <v>50.400000000000006</v>
      </c>
      <c r="E118" s="1">
        <f>D118/D117*100</f>
        <v>82.08469055374594</v>
      </c>
      <c r="F118" s="1">
        <f t="shared" si="15"/>
        <v>75</v>
      </c>
      <c r="G118" s="1">
        <f t="shared" si="12"/>
        <v>29.61222091656875</v>
      </c>
      <c r="H118" s="48">
        <f t="shared" si="16"/>
        <v>16.799999999999997</v>
      </c>
      <c r="I118" s="48">
        <f t="shared" si="14"/>
        <v>119.79999999999998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91.8</v>
      </c>
      <c r="C120" s="57">
        <f>204.9+375.8</f>
        <v>580.7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91.8</v>
      </c>
      <c r="I120" s="65">
        <f t="shared" si="14"/>
        <v>580.7</v>
      </c>
    </row>
    <row r="121" spans="1:9" s="110" customFormat="1" ht="18" hidden="1">
      <c r="A121" s="26" t="s">
        <v>97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61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5174.5</v>
      </c>
      <c r="C123" s="57">
        <f>5096.9+1707.5</f>
        <v>6804.4</v>
      </c>
      <c r="D123" s="80">
        <f>3776+7.6+1124+100</f>
        <v>5007.6</v>
      </c>
      <c r="E123" s="17">
        <f>D123/D106*100</f>
        <v>8.640258400251222</v>
      </c>
      <c r="F123" s="6">
        <f t="shared" si="15"/>
        <v>96.7745675910716</v>
      </c>
      <c r="G123" s="6">
        <f t="shared" si="12"/>
        <v>73.59355711010524</v>
      </c>
      <c r="H123" s="65">
        <f t="shared" si="16"/>
        <v>166.89999999999964</v>
      </c>
      <c r="I123" s="65">
        <f t="shared" si="14"/>
        <v>1796.7999999999993</v>
      </c>
    </row>
    <row r="124" spans="1:9" s="2" customFormat="1" ht="18.75">
      <c r="A124" s="16" t="s">
        <v>118</v>
      </c>
      <c r="B124" s="77">
        <v>0</v>
      </c>
      <c r="C124" s="57">
        <v>1239</v>
      </c>
      <c r="D124" s="80"/>
      <c r="E124" s="17">
        <f>D124/D106*100</f>
        <v>0</v>
      </c>
      <c r="F124" s="133" t="e">
        <f t="shared" si="15"/>
        <v>#DIV/0!</v>
      </c>
      <c r="G124" s="6">
        <f t="shared" si="12"/>
        <v>0</v>
      </c>
      <c r="H124" s="65">
        <f t="shared" si="16"/>
        <v>0</v>
      </c>
      <c r="I124" s="65">
        <f t="shared" si="14"/>
        <v>1239</v>
      </c>
    </row>
    <row r="125" spans="1:9" s="2" customFormat="1" ht="37.5">
      <c r="A125" s="16" t="s">
        <v>117</v>
      </c>
      <c r="B125" s="77">
        <v>0</v>
      </c>
      <c r="C125" s="57">
        <v>20</v>
      </c>
      <c r="D125" s="80"/>
      <c r="E125" s="17">
        <f>D125/D106*100</f>
        <v>0</v>
      </c>
      <c r="F125" s="133" t="e">
        <f t="shared" si="15"/>
        <v>#DIV/0!</v>
      </c>
      <c r="G125" s="6">
        <f t="shared" si="12"/>
        <v>0</v>
      </c>
      <c r="H125" s="65">
        <f t="shared" si="16"/>
        <v>0</v>
      </c>
      <c r="I125" s="65">
        <f t="shared" si="14"/>
        <v>20</v>
      </c>
    </row>
    <row r="126" spans="1:9" s="2" customFormat="1" ht="37.5">
      <c r="A126" s="16" t="s">
        <v>102</v>
      </c>
      <c r="B126" s="77">
        <v>95.1</v>
      </c>
      <c r="C126" s="57">
        <v>95.1</v>
      </c>
      <c r="D126" s="80">
        <f>4.5+17.5</f>
        <v>22</v>
      </c>
      <c r="E126" s="17">
        <f>D126/D106*100</f>
        <v>0.03795943861441147</v>
      </c>
      <c r="F126" s="6">
        <f t="shared" si="15"/>
        <v>23.1335436382755</v>
      </c>
      <c r="G126" s="6">
        <f t="shared" si="12"/>
        <v>23.1335436382755</v>
      </c>
      <c r="H126" s="65">
        <f t="shared" si="16"/>
        <v>73.1</v>
      </c>
      <c r="I126" s="65">
        <f t="shared" si="14"/>
        <v>73.1</v>
      </c>
    </row>
    <row r="127" spans="1:9" s="2" customFormat="1" ht="37.5">
      <c r="A127" s="16" t="s">
        <v>74</v>
      </c>
      <c r="B127" s="77">
        <v>273.3</v>
      </c>
      <c r="C127" s="57">
        <v>983</v>
      </c>
      <c r="D127" s="80">
        <f>2.8+14.4+2.8+8.8+3.7+4+2.8+5.8</f>
        <v>45.099999999999994</v>
      </c>
      <c r="E127" s="17">
        <f>D127/D106*100</f>
        <v>0.0778168491595435</v>
      </c>
      <c r="F127" s="6">
        <f t="shared" si="15"/>
        <v>16.502012440541527</v>
      </c>
      <c r="G127" s="6">
        <f t="shared" si="12"/>
        <v>4.5879959308240075</v>
      </c>
      <c r="H127" s="65">
        <f t="shared" si="16"/>
        <v>228.20000000000002</v>
      </c>
      <c r="I127" s="65">
        <f t="shared" si="14"/>
        <v>937.9</v>
      </c>
    </row>
    <row r="128" spans="1:9" s="36" customFormat="1" ht="18">
      <c r="A128" s="26" t="s">
        <v>111</v>
      </c>
      <c r="B128" s="78">
        <v>234.4</v>
      </c>
      <c r="C128" s="48">
        <v>851.8</v>
      </c>
      <c r="D128" s="79">
        <f>2.8+2.8-0.1+2.8</f>
        <v>8.3</v>
      </c>
      <c r="E128" s="1">
        <f>D128/D127*100</f>
        <v>18.403547671840357</v>
      </c>
      <c r="F128" s="1">
        <f>D128/B128*100</f>
        <v>3.540955631399317</v>
      </c>
      <c r="G128" s="1">
        <f t="shared" si="12"/>
        <v>0.9744071378257809</v>
      </c>
      <c r="H128" s="48">
        <f t="shared" si="16"/>
        <v>226.1</v>
      </c>
      <c r="I128" s="48">
        <f t="shared" si="14"/>
        <v>843.5</v>
      </c>
    </row>
    <row r="129" spans="1:9" s="2" customFormat="1" ht="18.75" hidden="1">
      <c r="A129" s="16" t="s">
        <v>69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68</v>
      </c>
      <c r="B131" s="77">
        <v>24.1</v>
      </c>
      <c r="C131" s="57">
        <v>64.1</v>
      </c>
      <c r="D131" s="80">
        <f>0.8</f>
        <v>0.8</v>
      </c>
      <c r="E131" s="17">
        <f>D131/D106*100</f>
        <v>0.0013803432223422354</v>
      </c>
      <c r="F131" s="6">
        <f t="shared" si="15"/>
        <v>3.319502074688797</v>
      </c>
      <c r="G131" s="6">
        <f t="shared" si="12"/>
        <v>1.2480499219968801</v>
      </c>
      <c r="H131" s="65">
        <f t="shared" si="16"/>
        <v>23.3</v>
      </c>
      <c r="I131" s="65">
        <f t="shared" si="14"/>
        <v>63.3</v>
      </c>
    </row>
    <row r="132" spans="1:9" s="2" customFormat="1" ht="35.25" customHeight="1" hidden="1">
      <c r="A132" s="16" t="s">
        <v>70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109</v>
      </c>
      <c r="B133" s="77">
        <v>169.2</v>
      </c>
      <c r="C133" s="57">
        <v>600</v>
      </c>
      <c r="D133" s="80">
        <f>0.8+5+0.9+2.6-0.1</f>
        <v>9.200000000000001</v>
      </c>
      <c r="E133" s="17">
        <f>D133/D106*100</f>
        <v>0.01587394705693571</v>
      </c>
      <c r="F133" s="6">
        <f t="shared" si="15"/>
        <v>5.437352245862885</v>
      </c>
      <c r="G133" s="6">
        <f t="shared" si="12"/>
        <v>1.5333333333333337</v>
      </c>
      <c r="H133" s="65">
        <f t="shared" si="16"/>
        <v>160</v>
      </c>
      <c r="I133" s="65">
        <f t="shared" si="14"/>
        <v>590.8</v>
      </c>
    </row>
    <row r="134" spans="1:9" s="2" customFormat="1" ht="35.25" customHeight="1" hidden="1">
      <c r="A134" s="16" t="s">
        <v>110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101</v>
      </c>
      <c r="B135" s="77">
        <v>158.7</v>
      </c>
      <c r="C135" s="57">
        <v>363.7</v>
      </c>
      <c r="D135" s="80">
        <f>5.2+0.3+2.7+0.1+0.5+0.2</f>
        <v>8.999999999999998</v>
      </c>
      <c r="E135" s="17">
        <f>D135/D106*100</f>
        <v>0.015528861251350144</v>
      </c>
      <c r="F135" s="6">
        <f t="shared" si="15"/>
        <v>5.671077504725897</v>
      </c>
      <c r="G135" s="6">
        <f>D135/C135*100</f>
        <v>2.4745669507836126</v>
      </c>
      <c r="H135" s="65">
        <f t="shared" si="16"/>
        <v>149.7</v>
      </c>
      <c r="I135" s="65">
        <f t="shared" si="14"/>
        <v>354.7</v>
      </c>
    </row>
    <row r="136" spans="1:9" s="36" customFormat="1" ht="18">
      <c r="A136" s="26" t="s">
        <v>32</v>
      </c>
      <c r="B136" s="78">
        <v>111.1</v>
      </c>
      <c r="C136" s="48">
        <v>218.8</v>
      </c>
      <c r="D136" s="79">
        <f>0.3</f>
        <v>0.3</v>
      </c>
      <c r="E136" s="111">
        <f>D136/D135*100</f>
        <v>3.333333333333334</v>
      </c>
      <c r="F136" s="1">
        <f t="shared" si="15"/>
        <v>0.27002700270027</v>
      </c>
      <c r="G136" s="1">
        <f>D136/C136*100</f>
        <v>0.13711151736745886</v>
      </c>
      <c r="H136" s="48">
        <f t="shared" si="16"/>
        <v>110.8</v>
      </c>
      <c r="I136" s="48">
        <f t="shared" si="14"/>
        <v>218.5</v>
      </c>
    </row>
    <row r="137" spans="1:9" s="2" customFormat="1" ht="18.75">
      <c r="A137" s="16" t="s">
        <v>31</v>
      </c>
      <c r="B137" s="77">
        <v>379.5</v>
      </c>
      <c r="C137" s="57">
        <v>1160.2</v>
      </c>
      <c r="D137" s="80">
        <f>26.5+42.3+30.1+3.6+8.6+42.3+0.1+5.7+31.9+5.2+42.5</f>
        <v>238.79999999999995</v>
      </c>
      <c r="E137" s="17">
        <f>D137/D106*100</f>
        <v>0.41203245186915716</v>
      </c>
      <c r="F137" s="6">
        <f t="shared" si="15"/>
        <v>62.92490118577074</v>
      </c>
      <c r="G137" s="6">
        <f t="shared" si="12"/>
        <v>20.58265816238579</v>
      </c>
      <c r="H137" s="65">
        <f t="shared" si="16"/>
        <v>140.70000000000005</v>
      </c>
      <c r="I137" s="65">
        <f t="shared" si="14"/>
        <v>921.4000000000001</v>
      </c>
    </row>
    <row r="138" spans="1:9" s="36" customFormat="1" ht="18">
      <c r="A138" s="37" t="s">
        <v>53</v>
      </c>
      <c r="B138" s="78">
        <v>290.5</v>
      </c>
      <c r="C138" s="48">
        <v>886.2</v>
      </c>
      <c r="D138" s="79">
        <f>26.5+39.8+30.1+42.1+0.1+31.9+40.5</f>
        <v>211</v>
      </c>
      <c r="E138" s="1">
        <f>D138/D137*100</f>
        <v>88.35845896147406</v>
      </c>
      <c r="F138" s="1">
        <f aca="true" t="shared" si="17" ref="F138:F146">D138/B138*100</f>
        <v>72.63339070567987</v>
      </c>
      <c r="G138" s="1">
        <f t="shared" si="12"/>
        <v>23.809523809523807</v>
      </c>
      <c r="H138" s="48">
        <f t="shared" si="16"/>
        <v>79.5</v>
      </c>
      <c r="I138" s="48">
        <f t="shared" si="14"/>
        <v>675.2</v>
      </c>
    </row>
    <row r="139" spans="1:9" s="36" customFormat="1" ht="18">
      <c r="A139" s="26" t="s">
        <v>32</v>
      </c>
      <c r="B139" s="78">
        <v>22.1</v>
      </c>
      <c r="C139" s="48">
        <v>39.3</v>
      </c>
      <c r="D139" s="79">
        <f>8.6+0.2+0.3+5.1</f>
        <v>14.2</v>
      </c>
      <c r="E139" s="1">
        <f>D139/D137*100</f>
        <v>5.9463986599665</v>
      </c>
      <c r="F139" s="1">
        <f t="shared" si="17"/>
        <v>64.25339366515837</v>
      </c>
      <c r="G139" s="1">
        <f>D139/C139*100</f>
        <v>36.1323155216285</v>
      </c>
      <c r="H139" s="48">
        <f t="shared" si="16"/>
        <v>7.900000000000002</v>
      </c>
      <c r="I139" s="48">
        <f t="shared" si="14"/>
        <v>25.099999999999998</v>
      </c>
    </row>
    <row r="140" spans="1:9" s="2" customFormat="1" ht="56.25">
      <c r="A140" s="20" t="s">
        <v>106</v>
      </c>
      <c r="B140" s="77">
        <v>345</v>
      </c>
      <c r="C140" s="57">
        <v>345</v>
      </c>
      <c r="D140" s="80"/>
      <c r="E140" s="17">
        <f>D140/D106*100</f>
        <v>0</v>
      </c>
      <c r="F140" s="107">
        <f t="shared" si="17"/>
        <v>0</v>
      </c>
      <c r="G140" s="6">
        <f t="shared" si="12"/>
        <v>0</v>
      </c>
      <c r="H140" s="65">
        <f t="shared" si="16"/>
        <v>345</v>
      </c>
      <c r="I140" s="65">
        <f t="shared" si="14"/>
        <v>345</v>
      </c>
    </row>
    <row r="141" spans="1:9" s="2" customFormat="1" ht="18.75" hidden="1">
      <c r="A141" s="20" t="s">
        <v>108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103</v>
      </c>
      <c r="B142" s="77">
        <v>15612.8</v>
      </c>
      <c r="C142" s="57">
        <f>16744+15000</f>
        <v>31744</v>
      </c>
      <c r="D142" s="80">
        <f>112.8+55.6+128.7+0.1+105.3+21.7+331.5+41.9+106.9+1197.5+64.4+33.5+768.6+5.6+65.8</f>
        <v>3039.9</v>
      </c>
      <c r="E142" s="17">
        <f>D142/D106*100</f>
        <v>5.245131701997701</v>
      </c>
      <c r="F142" s="107">
        <f t="shared" si="17"/>
        <v>19.47056261529002</v>
      </c>
      <c r="G142" s="6">
        <f t="shared" si="12"/>
        <v>9.576297883064516</v>
      </c>
      <c r="H142" s="65">
        <f t="shared" si="16"/>
        <v>12572.9</v>
      </c>
      <c r="I142" s="65">
        <f t="shared" si="14"/>
        <v>28704.1</v>
      </c>
    </row>
    <row r="143" spans="1:9" s="2" customFormat="1" ht="18.75" hidden="1">
      <c r="A143" s="20" t="s">
        <v>104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107</v>
      </c>
      <c r="B144" s="77">
        <v>2114.7</v>
      </c>
      <c r="C144" s="57">
        <v>6504.8</v>
      </c>
      <c r="D144" s="80">
        <f>2094</f>
        <v>2094</v>
      </c>
      <c r="E144" s="17">
        <f>D144/D106*100</f>
        <v>3.6130483844808006</v>
      </c>
      <c r="F144" s="107">
        <f t="shared" si="17"/>
        <v>99.02113775003546</v>
      </c>
      <c r="G144" s="6">
        <f t="shared" si="12"/>
        <v>32.1916123478047</v>
      </c>
      <c r="H144" s="65">
        <f t="shared" si="16"/>
        <v>20.699999999999818</v>
      </c>
      <c r="I144" s="65">
        <f t="shared" si="14"/>
        <v>4410.8</v>
      </c>
    </row>
    <row r="145" spans="1:12" s="2" customFormat="1" ht="18.75" customHeight="1">
      <c r="A145" s="16" t="s">
        <v>94</v>
      </c>
      <c r="B145" s="77">
        <v>602.7</v>
      </c>
      <c r="C145" s="57">
        <v>602.7</v>
      </c>
      <c r="D145" s="80">
        <f>568.7+16.6-0.1</f>
        <v>585.2</v>
      </c>
      <c r="E145" s="17">
        <f>D145/D106*100</f>
        <v>1.0097210671433452</v>
      </c>
      <c r="F145" s="107">
        <f t="shared" si="17"/>
        <v>97.09639953542393</v>
      </c>
      <c r="G145" s="6">
        <f t="shared" si="12"/>
        <v>97.09639953542393</v>
      </c>
      <c r="H145" s="65">
        <f t="shared" si="16"/>
        <v>17.5</v>
      </c>
      <c r="I145" s="65">
        <f t="shared" si="14"/>
        <v>17.5</v>
      </c>
      <c r="K145" s="42"/>
      <c r="L145" s="42"/>
    </row>
    <row r="146" spans="1:12" s="2" customFormat="1" ht="19.5" customHeight="1">
      <c r="A146" s="16" t="s">
        <v>62</v>
      </c>
      <c r="B146" s="77">
        <v>80247.9</v>
      </c>
      <c r="C146" s="57">
        <f>298394.8+81857.1-188.4</f>
        <v>380063.5</v>
      </c>
      <c r="D146" s="80">
        <f>26548.7+545.5+173+4155.7+7306.3</f>
        <v>38729.200000000004</v>
      </c>
      <c r="E146" s="17">
        <f>D146/D106*100</f>
        <v>66.82448590842112</v>
      </c>
      <c r="F146" s="6">
        <f t="shared" si="17"/>
        <v>48.261948287743365</v>
      </c>
      <c r="G146" s="6">
        <f t="shared" si="12"/>
        <v>10.190191902142669</v>
      </c>
      <c r="H146" s="65">
        <f t="shared" si="16"/>
        <v>41518.69999999999</v>
      </c>
      <c r="I146" s="65">
        <f t="shared" si="14"/>
        <v>341334.3</v>
      </c>
      <c r="K146" s="99"/>
      <c r="L146" s="42"/>
    </row>
    <row r="147" spans="1:12" s="2" customFormat="1" ht="18.75">
      <c r="A147" s="16" t="s">
        <v>105</v>
      </c>
      <c r="B147" s="77">
        <v>9667.2</v>
      </c>
      <c r="C147" s="57">
        <v>29001.6</v>
      </c>
      <c r="D147" s="80">
        <f>805.6+805.6+805.6+805.6+805.6+805.6+805.6+805.6+805.6</f>
        <v>7250.4000000000015</v>
      </c>
      <c r="E147" s="17">
        <f>D147/D106*100</f>
        <v>12.510050624087683</v>
      </c>
      <c r="F147" s="6">
        <f t="shared" si="15"/>
        <v>75.00000000000001</v>
      </c>
      <c r="G147" s="6">
        <f t="shared" si="12"/>
        <v>25.000000000000007</v>
      </c>
      <c r="H147" s="65">
        <f t="shared" si="16"/>
        <v>2416.7999999999993</v>
      </c>
      <c r="I147" s="65">
        <f t="shared" si="14"/>
        <v>21751.199999999997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124195.5</v>
      </c>
      <c r="C148" s="81">
        <f>C43+C68+C71+C76+C78+C86+C101+C106+C99+C83+C97</f>
        <v>488352.5</v>
      </c>
      <c r="D148" s="57">
        <f>D43+D68+D71+D76+D78+D86+D101+D106+D99+D83+D97</f>
        <v>60175.90000000001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434563.89999999997</v>
      </c>
      <c r="C149" s="51">
        <f>C6+C18+C33+C43+C51+C58+C68+C71+C76+C78+C86+C89+C94+C101+C106+C99+C83+C97+C45</f>
        <v>1384940.3000000003</v>
      </c>
      <c r="D149" s="51">
        <f>D6+D18+D33+D43+D51+D58+D68+D71+D76+D78+D86+D89+D94+D101+D106+D99+D83+D97+D45</f>
        <v>273461.00000000006</v>
      </c>
      <c r="E149" s="35">
        <v>100</v>
      </c>
      <c r="F149" s="3">
        <f>D149/B149*100</f>
        <v>62.92768451314066</v>
      </c>
      <c r="G149" s="3">
        <f aca="true" t="shared" si="18" ref="G149:G155">D149/C149*100</f>
        <v>19.745327650585374</v>
      </c>
      <c r="H149" s="51">
        <f aca="true" t="shared" si="19" ref="H149:H155">B149-D149</f>
        <v>161102.8999999999</v>
      </c>
      <c r="I149" s="51">
        <f aca="true" t="shared" si="20" ref="I149:I155">C149-D149</f>
        <v>1111479.3000000003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188923</v>
      </c>
      <c r="C150" s="64">
        <f>C8+C20+C34+C52+C59+C90+C114+C118+C46+C138+C130+C102</f>
        <v>587184.8999999998</v>
      </c>
      <c r="D150" s="64">
        <f>D8+D20+D34+D52+D59+D90+D114+D118+D46+D138+D130+D102</f>
        <v>137047.59999999995</v>
      </c>
      <c r="E150" s="6">
        <f>D150/D149*100</f>
        <v>50.1159580342352</v>
      </c>
      <c r="F150" s="6">
        <f aca="true" t="shared" si="21" ref="F150:F161">D150/B150*100</f>
        <v>72.54151162113662</v>
      </c>
      <c r="G150" s="6">
        <f t="shared" si="18"/>
        <v>23.339769125534392</v>
      </c>
      <c r="H150" s="65">
        <f t="shared" si="19"/>
        <v>51875.40000000005</v>
      </c>
      <c r="I150" s="76">
        <f t="shared" si="20"/>
        <v>450137.2999999998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50042.50000000001</v>
      </c>
      <c r="C151" s="65">
        <f>C11+C23+C36+C55+C61+C91+C49+C139+C108+C111+C95+C136</f>
        <v>114263.80000000002</v>
      </c>
      <c r="D151" s="65">
        <f>D11+D23+D36+D55+D61+D91+D49+D139+D108+D111+D95+D136</f>
        <v>30437.899999999998</v>
      </c>
      <c r="E151" s="6">
        <f>D151/D149*100</f>
        <v>11.130618260007823</v>
      </c>
      <c r="F151" s="6">
        <f t="shared" si="21"/>
        <v>60.82409951541189</v>
      </c>
      <c r="G151" s="6">
        <f t="shared" si="18"/>
        <v>26.638270388346957</v>
      </c>
      <c r="H151" s="65">
        <f t="shared" si="19"/>
        <v>19604.60000000001</v>
      </c>
      <c r="I151" s="76">
        <f t="shared" si="20"/>
        <v>83825.90000000002</v>
      </c>
      <c r="K151" s="43"/>
      <c r="L151" s="98"/>
    </row>
    <row r="152" spans="1:12" ht="18.75">
      <c r="A152" s="20" t="s">
        <v>1</v>
      </c>
      <c r="B152" s="64">
        <f>B22+B10+B54+B48+B60+B35+B122</f>
        <v>14609.9</v>
      </c>
      <c r="C152" s="64">
        <f>C22+C10+C54+C48+C60+C35+C122</f>
        <v>32660.300000000003</v>
      </c>
      <c r="D152" s="64">
        <f>D22+D10+D54+D48+D60+D35+D122</f>
        <v>7888.000000000001</v>
      </c>
      <c r="E152" s="6">
        <f>D152/D149*100</f>
        <v>2.8845063829942843</v>
      </c>
      <c r="F152" s="6">
        <f t="shared" si="21"/>
        <v>53.990787069042234</v>
      </c>
      <c r="G152" s="6">
        <f t="shared" si="18"/>
        <v>24.151645882003532</v>
      </c>
      <c r="H152" s="65">
        <f t="shared" si="19"/>
        <v>6721.899999999999</v>
      </c>
      <c r="I152" s="76">
        <f t="shared" si="20"/>
        <v>24772.300000000003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8558.8</v>
      </c>
      <c r="C153" s="64">
        <f>C12+C24+C103+C62+C38+C92+C128</f>
        <v>29295.7</v>
      </c>
      <c r="D153" s="64">
        <f>D12+D24+D103+D62+D38+D92+D128</f>
        <v>5634.200000000001</v>
      </c>
      <c r="E153" s="6">
        <f>D153/D149*100</f>
        <v>2.060330357893813</v>
      </c>
      <c r="F153" s="6">
        <f t="shared" si="21"/>
        <v>65.82932186755154</v>
      </c>
      <c r="G153" s="6">
        <f t="shared" si="18"/>
        <v>19.232174005058763</v>
      </c>
      <c r="H153" s="65">
        <f t="shared" si="19"/>
        <v>2924.5999999999985</v>
      </c>
      <c r="I153" s="76">
        <f t="shared" si="20"/>
        <v>23661.5</v>
      </c>
      <c r="K153" s="43"/>
      <c r="L153" s="98"/>
    </row>
    <row r="154" spans="1:12" ht="18.75">
      <c r="A154" s="20" t="s">
        <v>2</v>
      </c>
      <c r="B154" s="64">
        <f>B9+B21+B47+B53+B121</f>
        <v>7818.4</v>
      </c>
      <c r="C154" s="64">
        <f>C9+C21+C47+C53+C121</f>
        <v>21053.1</v>
      </c>
      <c r="D154" s="64">
        <f>D9+D21+D47+D53+D121</f>
        <v>4149.999999999999</v>
      </c>
      <c r="E154" s="6">
        <f>D154/D149*100</f>
        <v>1.5175838602213836</v>
      </c>
      <c r="F154" s="6">
        <f t="shared" si="21"/>
        <v>53.07991404891025</v>
      </c>
      <c r="G154" s="6">
        <f t="shared" si="18"/>
        <v>19.712061406633698</v>
      </c>
      <c r="H154" s="65">
        <f t="shared" si="19"/>
        <v>3668.4000000000005</v>
      </c>
      <c r="I154" s="76">
        <f t="shared" si="20"/>
        <v>16903.1</v>
      </c>
      <c r="K154" s="43"/>
      <c r="L154" s="44"/>
    </row>
    <row r="155" spans="1:12" ht="19.5" thickBot="1">
      <c r="A155" s="20" t="s">
        <v>34</v>
      </c>
      <c r="B155" s="64">
        <f>B149-B150-B151-B152-B153-B154</f>
        <v>164611.3</v>
      </c>
      <c r="C155" s="64">
        <f>C149-C150-C151-C152-C153-C154</f>
        <v>600482.5000000005</v>
      </c>
      <c r="D155" s="64">
        <f>D149-D150-D151-D152-D153-D154</f>
        <v>88303.30000000012</v>
      </c>
      <c r="E155" s="6">
        <f>D155/D149*100</f>
        <v>32.2910031046475</v>
      </c>
      <c r="F155" s="6">
        <f t="shared" si="21"/>
        <v>53.643522650024714</v>
      </c>
      <c r="G155" s="40">
        <f t="shared" si="18"/>
        <v>14.705391081338764</v>
      </c>
      <c r="H155" s="65">
        <f t="shared" si="19"/>
        <v>76307.99999999987</v>
      </c>
      <c r="I155" s="65">
        <f t="shared" si="20"/>
        <v>512179.20000000036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v>4951.4</v>
      </c>
      <c r="C157" s="70">
        <f>11264.2-188.4+16049.8</f>
        <v>27125.6</v>
      </c>
      <c r="D157" s="70">
        <f>33</f>
        <v>33</v>
      </c>
      <c r="E157" s="14"/>
      <c r="F157" s="6">
        <f t="shared" si="21"/>
        <v>0.6664781677909279</v>
      </c>
      <c r="G157" s="6">
        <f aca="true" t="shared" si="22" ref="G157:G166">D157/C157*100</f>
        <v>0.12165629516029139</v>
      </c>
      <c r="H157" s="6">
        <f>B157-D157</f>
        <v>4918.4</v>
      </c>
      <c r="I157" s="6">
        <f aca="true" t="shared" si="23" ref="I157:I166">C157-D157</f>
        <v>27092.6</v>
      </c>
      <c r="K157" s="43"/>
      <c r="L157" s="43"/>
    </row>
    <row r="158" spans="1:12" ht="18.75">
      <c r="A158" s="20" t="s">
        <v>22</v>
      </c>
      <c r="B158" s="85">
        <v>6067.8</v>
      </c>
      <c r="C158" s="64">
        <v>40292</v>
      </c>
      <c r="D158" s="64"/>
      <c r="E158" s="6"/>
      <c r="F158" s="6">
        <f t="shared" si="21"/>
        <v>0</v>
      </c>
      <c r="G158" s="6">
        <f t="shared" si="22"/>
        <v>0</v>
      </c>
      <c r="H158" s="6">
        <f aca="true" t="shared" si="24" ref="H158:H165">B158-D158</f>
        <v>6067.8</v>
      </c>
      <c r="I158" s="6">
        <f t="shared" si="23"/>
        <v>40292</v>
      </c>
      <c r="K158" s="43"/>
      <c r="L158" s="43"/>
    </row>
    <row r="159" spans="1:12" ht="18.75">
      <c r="A159" s="20" t="s">
        <v>58</v>
      </c>
      <c r="B159" s="85">
        <v>132461</v>
      </c>
      <c r="C159" s="64">
        <f>253351.6+55+5844.1+52645.5+25515.3</f>
        <v>337411.5</v>
      </c>
      <c r="D159" s="64">
        <f>12.5+3344.4+45.2+21.2+85.3+173+1150</f>
        <v>4831.6</v>
      </c>
      <c r="E159" s="6"/>
      <c r="F159" s="6">
        <f t="shared" si="21"/>
        <v>3.6475641887046004</v>
      </c>
      <c r="G159" s="6">
        <f t="shared" si="22"/>
        <v>1.4319606770960682</v>
      </c>
      <c r="H159" s="6">
        <f t="shared" si="24"/>
        <v>127629.4</v>
      </c>
      <c r="I159" s="6">
        <f t="shared" si="23"/>
        <v>332579.9</v>
      </c>
      <c r="K159" s="43"/>
      <c r="L159" s="43"/>
    </row>
    <row r="160" spans="1:12" ht="37.5" hidden="1">
      <c r="A160" s="20" t="s">
        <v>67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v>3520.7</v>
      </c>
      <c r="C161" s="64">
        <f>9501+4181.1</f>
        <v>13682.1</v>
      </c>
      <c r="D161" s="64">
        <f>49.9+127.8+39.6+53.8+398.2+8.4+32.5+231.9+89.8</f>
        <v>1031.8999999999999</v>
      </c>
      <c r="E161" s="17"/>
      <c r="F161" s="6">
        <f t="shared" si="21"/>
        <v>29.309512312892323</v>
      </c>
      <c r="G161" s="6">
        <f t="shared" si="22"/>
        <v>7.5419708962805405</v>
      </c>
      <c r="H161" s="6">
        <f t="shared" si="24"/>
        <v>2488.8</v>
      </c>
      <c r="I161" s="6">
        <f t="shared" si="23"/>
        <v>12650.2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427.2</v>
      </c>
      <c r="C163" s="64">
        <v>1693</v>
      </c>
      <c r="D163" s="64">
        <f>394.4</f>
        <v>394.4</v>
      </c>
      <c r="E163" s="17"/>
      <c r="F163" s="6">
        <f>D163/B163*100</f>
        <v>92.32209737827715</v>
      </c>
      <c r="G163" s="6">
        <f t="shared" si="22"/>
        <v>23.29592439456586</v>
      </c>
      <c r="H163" s="6">
        <f t="shared" si="24"/>
        <v>32.80000000000001</v>
      </c>
      <c r="I163" s="6">
        <f t="shared" si="23"/>
        <v>1298.6</v>
      </c>
    </row>
    <row r="164" spans="1:9" ht="19.5" customHeight="1" hidden="1">
      <c r="A164" s="20" t="s">
        <v>65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59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581992</v>
      </c>
      <c r="C166" s="87">
        <f>C149+C157+C161+C162+C158+C165+C164+C159+C163+C160</f>
        <v>1805144.5000000005</v>
      </c>
      <c r="D166" s="87">
        <f>D149+D157+D161+D162+D158+D165+D164+D159+D163+D160</f>
        <v>279751.9000000001</v>
      </c>
      <c r="E166" s="22"/>
      <c r="F166" s="3">
        <f>D166/B166*100</f>
        <v>48.06799749824741</v>
      </c>
      <c r="G166" s="3">
        <f t="shared" si="22"/>
        <v>15.49747956465535</v>
      </c>
      <c r="H166" s="3">
        <f>B166-D166</f>
        <v>302240.0999999999</v>
      </c>
      <c r="I166" s="3">
        <f t="shared" si="23"/>
        <v>1525392.6000000003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1384940.3000000003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273461.00000000006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1" sqref="R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1384940.3000000003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273461.00000000006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2016-03-31T09:03:26Z</cp:lastPrinted>
  <dcterms:created xsi:type="dcterms:W3CDTF">2000-06-20T04:48:00Z</dcterms:created>
  <dcterms:modified xsi:type="dcterms:W3CDTF">2016-04-04T05:07:44Z</dcterms:modified>
  <cp:category/>
  <cp:version/>
  <cp:contentType/>
  <cp:contentStatus/>
</cp:coreProperties>
</file>